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tabRatio="303" activeTab="0"/>
  </bookViews>
  <sheets>
    <sheet name="ORÇAMENTO" sheetId="1" r:id="rId1"/>
    <sheet name="CRONOGRAMA" sheetId="2" r:id="rId2"/>
  </sheets>
  <externalReferences>
    <externalReference r:id="rId5"/>
  </externalReferences>
  <definedNames>
    <definedName name="_xlnm.Print_Area" localSheetId="0">'ORÇAMENTO'!$A$1:$J$72</definedName>
    <definedName name="_xlnm.Print_Titles" localSheetId="0">'ORÇAMENTO'!$4:$9</definedName>
  </definedNames>
  <calcPr fullCalcOnLoad="1"/>
</workbook>
</file>

<file path=xl/sharedStrings.xml><?xml version="1.0" encoding="utf-8"?>
<sst xmlns="http://schemas.openxmlformats.org/spreadsheetml/2006/main" count="216" uniqueCount="152">
  <si>
    <t>ITEM</t>
  </si>
  <si>
    <t>DISCRIMINAÇÃO DOS SERVIÇOS</t>
  </si>
  <si>
    <t>QUANT</t>
  </si>
  <si>
    <t xml:space="preserve">PROJETO : </t>
  </si>
  <si>
    <t>LOCAL: :</t>
  </si>
  <si>
    <t>PREFEITURA MUNICIPAL DE TIMBÓ</t>
  </si>
  <si>
    <t>R$</t>
  </si>
  <si>
    <t>NOTA IMPORTANTE :</t>
  </si>
  <si>
    <t>SECRETARIA DE PLANEJAMENTO, TRÂNSITO E MEIO AMBIENTE</t>
  </si>
  <si>
    <t>1.1</t>
  </si>
  <si>
    <t>TOTAL DO ITEM</t>
  </si>
  <si>
    <t>m²</t>
  </si>
  <si>
    <t>CUSTO DA OBRA</t>
  </si>
  <si>
    <t>PREÇO (CUSTO+BDI)</t>
  </si>
  <si>
    <t>UNID</t>
  </si>
  <si>
    <t>TOTAL GERAL</t>
  </si>
  <si>
    <t>unid</t>
  </si>
  <si>
    <t xml:space="preserve">QUANTITATIVO E ORÇAMENTO ESTIMATIVO </t>
  </si>
  <si>
    <t>Conforme recomendação do Tribunal de Contas do Estado de Santa Catarina, a planilha de orçamento básico está disponibilizada pela contratante em meio digital, para o preenchimento dos valores propostos. A planilha orçamentária de proposta da licitante, portanto, deverá seguir o mesmo padrão do orçamento básico e conter as mesmas informações adaptadas aos custos da empresa.</t>
  </si>
  <si>
    <t>Os    quantitativos   são    meramente    orientativos,   ficando     sob  a responsabilidade da Empresa a conferência e a responsabilidade pela exatidão dos mesmos, através dos projetos.</t>
  </si>
  <si>
    <t>CUSTO UNIT.M.O</t>
  </si>
  <si>
    <t>CUSTO UNIT.MAT.</t>
  </si>
  <si>
    <t>CUSTO TOTAL M.O</t>
  </si>
  <si>
    <t>CUSTO TOTAL MAT.</t>
  </si>
  <si>
    <t>m³</t>
  </si>
  <si>
    <t>2.1</t>
  </si>
  <si>
    <t>REFORMA - NEI PARAÍSO DA CRIANÇA</t>
  </si>
  <si>
    <t>Rua Alemanha, Bairro das Nações - Timbó/SC</t>
  </si>
  <si>
    <t>SERVIÇOS INICIAIS</t>
  </si>
  <si>
    <t>DESPESAS INICIAIS "ART"</t>
  </si>
  <si>
    <t>PLACA DE OBRA (2,00x1,50m)</t>
  </si>
  <si>
    <t>74209/1</t>
  </si>
  <si>
    <t>1.2</t>
  </si>
  <si>
    <t>ESCAVAÇÃO MANUAL PARA SAPATA</t>
  </si>
  <si>
    <t>SAPATA CORRIDA ESCADA (150x50x30)</t>
  </si>
  <si>
    <t>AÇO CA-50 8,0MM</t>
  </si>
  <si>
    <t>kg</t>
  </si>
  <si>
    <t>ARMAÇÃO DE SAPATA UTILIZANDO AÇO CA-50 8,0MM</t>
  </si>
  <si>
    <t>Peso do aço 0,395Kg/m</t>
  </si>
  <si>
    <t>4x186cm e 11x86cm = 16,90m + 10% = 18,59m</t>
  </si>
  <si>
    <t>CONCRETO FCK = 25MPA, PREPARADO EM BETONEIRA</t>
  </si>
  <si>
    <t>SAPATA PROFUNDA (40x40x100)</t>
  </si>
  <si>
    <t>3x196cm e 3x196cm = 11,76m + 10% = 12,94m</t>
  </si>
  <si>
    <t>PREVENTIVO</t>
  </si>
  <si>
    <t>EXTINTOR DE PQS 4KG - FORNECIMENTO E INSTALAÇÃO</t>
  </si>
  <si>
    <t>3.1</t>
  </si>
  <si>
    <t>3.2</t>
  </si>
  <si>
    <t>3.3</t>
  </si>
  <si>
    <t>BLOCO DE ILUMINAÇÃO DE EMERGENCIA AUTÔNOMA PL 9W</t>
  </si>
  <si>
    <t>PLACA DE SAÍDA DE EMERGENCIA AUTÔNOMA EM ACRILICO</t>
  </si>
  <si>
    <t>C10.76.30.20.015</t>
  </si>
  <si>
    <t>3.4</t>
  </si>
  <si>
    <t>3.5</t>
  </si>
  <si>
    <t>ESCADA METÁLICA "GALVANIZADA"</t>
  </si>
  <si>
    <t>valor retirado da média</t>
  </si>
  <si>
    <t>PORTÃO METÁLICO "CENTRAL DE GÁS"</t>
  </si>
  <si>
    <t>74238/002</t>
  </si>
  <si>
    <t>ENVELOPAMENTO DE TUBULAÇÃO DE GÁS</t>
  </si>
  <si>
    <t>ESCAVAÇÃO MANUAL VALA</t>
  </si>
  <si>
    <t>2.2</t>
  </si>
  <si>
    <t>2.2.1</t>
  </si>
  <si>
    <t>2.2.2</t>
  </si>
  <si>
    <t>2.2.3</t>
  </si>
  <si>
    <t>REATERRO MANUAL APILOADO COM SOQUETE</t>
  </si>
  <si>
    <t>m</t>
  </si>
  <si>
    <t>CORRIMÃO DE AÇO GALVANIZADO 2 1/2"</t>
  </si>
  <si>
    <t>74072/002</t>
  </si>
  <si>
    <t>3.1.1</t>
  </si>
  <si>
    <t>3.1.2</t>
  </si>
  <si>
    <t>GÁS</t>
  </si>
  <si>
    <t>2.3</t>
  </si>
  <si>
    <t>2.4</t>
  </si>
  <si>
    <t>3.1.1.1</t>
  </si>
  <si>
    <t>3.1.1.2</t>
  </si>
  <si>
    <t>3.1.1.3</t>
  </si>
  <si>
    <t>3.1.1.4</t>
  </si>
  <si>
    <t>3.1.2.1</t>
  </si>
  <si>
    <t>3.1.2.2</t>
  </si>
  <si>
    <t>3.1.2.3</t>
  </si>
  <si>
    <t>3.1.2.4</t>
  </si>
  <si>
    <t>INSTALAÇÃO DE MEDIDOR DE PRESSÃO, COMANDOS INTERNOS E ESTRADO DE MADEREIRA "CENTRAL DE GÁS"</t>
  </si>
  <si>
    <t>ELETRICO</t>
  </si>
  <si>
    <t>4.1</t>
  </si>
  <si>
    <t>74003/001</t>
  </si>
  <si>
    <t>PONTO DE TOMADA "RASGOS, ELETRODUTO, CABO..."</t>
  </si>
  <si>
    <t>REMOÇÃO - DEMOLIÇÃO</t>
  </si>
  <si>
    <t>REMOÇÃO DE TOLDO</t>
  </si>
  <si>
    <t>5.1</t>
  </si>
  <si>
    <t>EDIFICAÇÃO</t>
  </si>
  <si>
    <t>6.4</t>
  </si>
  <si>
    <t>6.5</t>
  </si>
  <si>
    <t>6.6</t>
  </si>
  <si>
    <t>6.7</t>
  </si>
  <si>
    <t>6.8</t>
  </si>
  <si>
    <t>6.9</t>
  </si>
  <si>
    <t>6.10</t>
  </si>
  <si>
    <t>6.11</t>
  </si>
  <si>
    <t>DEMOLIÇÃO DE DIVISÓRIA</t>
  </si>
  <si>
    <t>PAREDE COM PLACAS DE GESSO ACARTONADO PARA USO INTERNO</t>
  </si>
  <si>
    <t>REVESTIMENTO CERAMICO ANTIDERRAPANTE COM LAUDO</t>
  </si>
  <si>
    <t>5.2</t>
  </si>
  <si>
    <t>5.3</t>
  </si>
  <si>
    <t>5.4</t>
  </si>
  <si>
    <t>REMOÇÃO DE FORRO PVC</t>
  </si>
  <si>
    <t>REMOÇÃO DE PORTAS EM VIDRO</t>
  </si>
  <si>
    <t>REMOÇÃO DE PORTAS INTERNAS</t>
  </si>
  <si>
    <t>Portas de vidro salas superior</t>
  </si>
  <si>
    <t>REMOÇÃO DE PISO CERÂMICO</t>
  </si>
  <si>
    <t>REMOÇÃO DE PISO CERÂMICO DA PAREDE</t>
  </si>
  <si>
    <t>REVESTIMENTO CERAMICO PARA PAREDES</t>
  </si>
  <si>
    <t>REVESTIMENTO PISO LAMINADO DE MADEIRA COM LAUDO</t>
  </si>
  <si>
    <t>5.5</t>
  </si>
  <si>
    <t>5.6</t>
  </si>
  <si>
    <t>5.7</t>
  </si>
  <si>
    <t>6.1</t>
  </si>
  <si>
    <t>6.2</t>
  </si>
  <si>
    <t>6.3</t>
  </si>
  <si>
    <t>PORTA DE VIDRO LAMINADO 6mm "90x210cm"</t>
  </si>
  <si>
    <t>PORTA DE VIDRO LAMINADO 6mm "420x220cm"</t>
  </si>
  <si>
    <t>PORTA EM VIDRO LAMINADO 6mm "440x220cm"</t>
  </si>
  <si>
    <t>PORTA COMPLETA EM MADEIRA MACIÇA EXTERNA "90x210cm"</t>
  </si>
  <si>
    <t>PORTA COMPLETA EM MADEIRA LAMINADA INTERNA "90x210cm"</t>
  </si>
  <si>
    <t>PORTA EM VIDRO LAMINADO 6mm "200x220cm"</t>
  </si>
  <si>
    <t>PORTA DE MADEIRA MACIÇA INTERNA DUAS FOLHAS "200x210cm"</t>
  </si>
  <si>
    <t>73838/1</t>
  </si>
  <si>
    <t>PINTURA</t>
  </si>
  <si>
    <t>7.1</t>
  </si>
  <si>
    <t>7.2</t>
  </si>
  <si>
    <t>7.3</t>
  </si>
  <si>
    <t>7.4</t>
  </si>
  <si>
    <t>FUNDO SELADOR ACRÍLICO PARA TETO UMA DEMÃO</t>
  </si>
  <si>
    <t>FUNDO SELADOR ACRÍLICO PARA PAREDE UMA DEMÃO</t>
  </si>
  <si>
    <t>PINTURA MANUAL COM TINTA ACRÍLICA PARA TETO DUAS DEMÃO</t>
  </si>
  <si>
    <t>PINTURA MANUAL COM TINTA ACRÍLICA PARA PAREDE DUAS DEMÃO</t>
  </si>
  <si>
    <t>DATA : setembro/2018</t>
  </si>
  <si>
    <t>O percentual de BDI (Benefícios e Despesas Indiretas) praticado pela licitante deverá ser evidenciado em separado, mas integrará o preço de cada um dos itens, caracterizando o preço final através do resultado do custo + BDI (23,4%).</t>
  </si>
  <si>
    <t>6.12</t>
  </si>
  <si>
    <t>REGULARIZAÇÃO DE CONTRAPISO COM ARGAMASSA</t>
  </si>
  <si>
    <t>TUBO DE AÇO GALVANIZADO 3/4" "GÁS" "LAUDO ESTANQUEIDADE"</t>
  </si>
  <si>
    <t xml:space="preserve"> </t>
  </si>
  <si>
    <t>CRONOGRAMA FISICO E FINANCEIRO</t>
  </si>
  <si>
    <t>ETAPAS</t>
  </si>
  <si>
    <t>VALOR</t>
  </si>
  <si>
    <t>%</t>
  </si>
  <si>
    <t>1º MÊS</t>
  </si>
  <si>
    <t>2º MÊS</t>
  </si>
  <si>
    <t>TOTAL</t>
  </si>
  <si>
    <t>30 DIAS</t>
  </si>
  <si>
    <t>60 DIAS</t>
  </si>
  <si>
    <t>VALOR TOTAL</t>
  </si>
  <si>
    <t>VALOR ACUM. PARCIAL</t>
  </si>
  <si>
    <t>VALOR ACUM. GLOBAL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</si>
</sst>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_(&quot;R$&quot;* #,##0.000_);_(&quot;R$&quot;* \(#,##0.000\);_(&quot;R$&quot;* &quot;-&quot;??_);_(@_)"/>
    <numFmt numFmtId="184" formatCode="_(&quot;R$&quot;* #,##0.0000_);_(&quot;R$&quot;* \(#,##0.0000\);_(&quot;R$&quot;* &quot;-&quot;??_);_(@_)"/>
    <numFmt numFmtId="185" formatCode="_(&quot;R$&quot;* #,##0.00000_);_(&quot;R$&quot;* \(#,##0.00000\);_(&quot;R$&quot;* &quot;-&quot;??_);_(@_)"/>
    <numFmt numFmtId="186" formatCode="_(&quot;R$&quot;* #,##0.0_);_(&quot;R$&quot;* \(#,##0.0\);_(&quot;R$&quot;* &quot;-&quot;??_);_(@_)"/>
    <numFmt numFmtId="187" formatCode="_(* #,##0.0000_);_(* \(#,##0.0000\);_(* &quot;-&quot;??_);_(@_)"/>
    <numFmt numFmtId="188" formatCode="h:mm:ss"/>
    <numFmt numFmtId="189" formatCode="[&lt;=9999999]###\-####;\(###\)\ ###\-####"/>
    <numFmt numFmtId="190" formatCode="&quot;R$  &quot;#,##0_);\(&quot;R$  &quot;#,##0\)"/>
    <numFmt numFmtId="191" formatCode="&quot;R$  &quot;#,##0_);[Red]\(&quot;R$  &quot;#,##0\)"/>
    <numFmt numFmtId="192" formatCode="&quot;R$  &quot;#,##0.00_);\(&quot;R$  &quot;#,##0.00\)"/>
    <numFmt numFmtId="193" formatCode="&quot;R$  &quot;#,##0.00_);[Red]\(&quot;R$  &quot;#,##0.00\)"/>
    <numFmt numFmtId="194" formatCode="_(&quot;R$  &quot;* #,##0_);_(&quot;R$  &quot;* \(#,##0\);_(&quot;R$  &quot;* &quot;-&quot;_);_(@_)"/>
    <numFmt numFmtId="195" formatCode="_(&quot;R$  &quot;* #,##0.00_);_(&quot;R$  &quot;* \(#,##0.00\);_(&quot;R$  &quot;* &quot;-&quot;??_);_(@_)"/>
    <numFmt numFmtId="196" formatCode="&quot;Cr$&quot;#,##0_);\(&quot;Cr$&quot;#,##0\)"/>
    <numFmt numFmtId="197" formatCode="&quot;Cr$&quot;#,##0_);[Red]\(&quot;Cr$&quot;#,##0\)"/>
    <numFmt numFmtId="198" formatCode="&quot;Cr$&quot;#,##0.00_);\(&quot;Cr$&quot;#,##0.00\)"/>
    <numFmt numFmtId="199" formatCode="&quot;Cr$&quot;#,##0.00_);[Red]\(&quot;Cr$&quot;#,##0.00\)"/>
    <numFmt numFmtId="200" formatCode="_(&quot;Cr$&quot;* #,##0_);_(&quot;Cr$&quot;* \(#,##0\);_(&quot;Cr$&quot;* &quot;-&quot;_);_(@_)"/>
    <numFmt numFmtId="201" formatCode="_(&quot;Cr$&quot;* #,##0.00_);_(&quot;Cr$&quot;* \(#,##0.00\);_(&quot;Cr$&quot;* &quot;-&quot;??_);_(@_)"/>
    <numFmt numFmtId="202" formatCode="_(&quot;Cr$&quot;* #,##0.000_);_(&quot;Cr$&quot;* \(#,##0.000\);_(&quot;Cr$&quot;* &quot;-&quot;??_);_(@_)"/>
    <numFmt numFmtId="203" formatCode="&quot;R$&quot;#,##0.00"/>
    <numFmt numFmtId="204" formatCode="&quot;R$  &quot;#,##0.00"/>
    <numFmt numFmtId="205" formatCode="&quot;R$  &quot;#,##0.000"/>
    <numFmt numFmtId="206" formatCode="#,##0.000_);\(#,##0.000\)"/>
    <numFmt numFmtId="207" formatCode="#,##0.0000_);\(#,##0.0000\)"/>
    <numFmt numFmtId="208" formatCode="#,##0.0_);\(#,##0.0\)"/>
    <numFmt numFmtId="209" formatCode="00000"/>
    <numFmt numFmtId="210" formatCode="#,##0.0"/>
    <numFmt numFmtId="211" formatCode="_(* #,##0.0_);_(* \(#,##0.0\);_(* &quot;-&quot;_);_(@_)"/>
    <numFmt numFmtId="212" formatCode="0.0%"/>
    <numFmt numFmtId="213" formatCode="0.000%"/>
    <numFmt numFmtId="214" formatCode="0.0000"/>
    <numFmt numFmtId="215" formatCode="0.0000%"/>
    <numFmt numFmtId="216" formatCode="mmm/yyyy"/>
    <numFmt numFmtId="217" formatCode="_(&quot;R$&quot;* #,##0_);_(&quot;R$&quot;* \(#,##0\);_(&quot;R$&quot;* &quot;-&quot;??_);_(@_)"/>
    <numFmt numFmtId="218" formatCode="&quot;Sim&quot;;&quot;Sim&quot;;&quot;Não&quot;"/>
    <numFmt numFmtId="219" formatCode="&quot;Verdadeiro&quot;;&quot;Verdadeiro&quot;;&quot;Falso&quot;"/>
    <numFmt numFmtId="220" formatCode="&quot;Ativar&quot;;&quot;Ativar&quot;;&quot;Desativar&quot;"/>
    <numFmt numFmtId="221" formatCode="###,###,##0.00"/>
    <numFmt numFmtId="222" formatCode="#,##0.00;[Red]#,##0.00"/>
    <numFmt numFmtId="223" formatCode="_([$€-2]* #,##0.00_);_([$€-2]* \(#,##0.00\);_([$€-2]* &quot;-&quot;??_)"/>
  </numFmts>
  <fonts count="6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u val="single"/>
      <sz val="8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22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1" fontId="0" fillId="0" borderId="0" xfId="64" applyFont="1" applyAlignment="1">
      <alignment/>
    </xf>
    <xf numFmtId="171" fontId="5" fillId="0" borderId="10" xfId="64" applyFont="1" applyFill="1" applyBorder="1" applyAlignment="1">
      <alignment/>
    </xf>
    <xf numFmtId="171" fontId="8" fillId="0" borderId="10" xfId="64" applyFont="1" applyFill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71" fontId="0" fillId="0" borderId="0" xfId="64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1" fontId="15" fillId="0" borderId="0" xfId="64" applyFont="1" applyAlignment="1">
      <alignment/>
    </xf>
    <xf numFmtId="171" fontId="15" fillId="0" borderId="0" xfId="64" applyFont="1" applyBorder="1" applyAlignment="1">
      <alignment/>
    </xf>
    <xf numFmtId="171" fontId="1" fillId="0" borderId="0" xfId="64" applyFont="1" applyAlignment="1">
      <alignment/>
    </xf>
    <xf numFmtId="171" fontId="14" fillId="0" borderId="0" xfId="64" applyFont="1" applyFill="1" applyBorder="1" applyAlignment="1">
      <alignment horizontal="center"/>
    </xf>
    <xf numFmtId="171" fontId="14" fillId="0" borderId="0" xfId="64" applyFont="1" applyBorder="1" applyAlignment="1">
      <alignment/>
    </xf>
    <xf numFmtId="171" fontId="14" fillId="0" borderId="0" xfId="64" applyFont="1" applyBorder="1" applyAlignment="1">
      <alignment horizontal="right"/>
    </xf>
    <xf numFmtId="171" fontId="1" fillId="0" borderId="0" xfId="64" applyFont="1" applyBorder="1" applyAlignment="1">
      <alignment/>
    </xf>
    <xf numFmtId="0" fontId="13" fillId="0" borderId="0" xfId="0" applyFont="1" applyBorder="1" applyAlignment="1">
      <alignment horizontal="left"/>
    </xf>
    <xf numFmtId="17" fontId="1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1" fontId="5" fillId="0" borderId="10" xfId="64" applyFont="1" applyFill="1" applyBorder="1" applyAlignment="1">
      <alignment horizontal="center"/>
    </xf>
    <xf numFmtId="171" fontId="5" fillId="0" borderId="10" xfId="64" applyFont="1" applyBorder="1" applyAlignment="1">
      <alignment horizontal="center"/>
    </xf>
    <xf numFmtId="171" fontId="5" fillId="0" borderId="10" xfId="64" applyFont="1" applyBorder="1" applyAlignment="1">
      <alignment/>
    </xf>
    <xf numFmtId="171" fontId="8" fillId="0" borderId="10" xfId="64" applyFont="1" applyFill="1" applyBorder="1" applyAlignment="1">
      <alignment horizontal="center"/>
    </xf>
    <xf numFmtId="171" fontId="8" fillId="0" borderId="10" xfId="64" applyFont="1" applyBorder="1" applyAlignment="1">
      <alignment horizontal="right"/>
    </xf>
    <xf numFmtId="171" fontId="14" fillId="0" borderId="0" xfId="64" applyFont="1" applyAlignment="1">
      <alignment/>
    </xf>
    <xf numFmtId="171" fontId="8" fillId="0" borderId="0" xfId="64" applyFont="1" applyBorder="1" applyAlignment="1">
      <alignment horizontal="left"/>
    </xf>
    <xf numFmtId="171" fontId="2" fillId="0" borderId="0" xfId="64" applyFont="1" applyBorder="1" applyAlignment="1">
      <alignment/>
    </xf>
    <xf numFmtId="171" fontId="2" fillId="0" borderId="0" xfId="64" applyFont="1" applyAlignment="1">
      <alignment/>
    </xf>
    <xf numFmtId="0" fontId="18" fillId="0" borderId="0" xfId="0" applyFont="1" applyBorder="1" applyAlignment="1">
      <alignment/>
    </xf>
    <xf numFmtId="171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9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171" fontId="5" fillId="32" borderId="10" xfId="64" applyFont="1" applyFill="1" applyBorder="1" applyAlignment="1">
      <alignment/>
    </xf>
    <xf numFmtId="171" fontId="5" fillId="32" borderId="10" xfId="64" applyFont="1" applyFill="1" applyBorder="1" applyAlignment="1">
      <alignment horizontal="center"/>
    </xf>
    <xf numFmtId="171" fontId="5" fillId="32" borderId="10" xfId="64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171" fontId="13" fillId="0" borderId="0" xfId="64" applyFont="1" applyBorder="1" applyAlignment="1">
      <alignment/>
    </xf>
    <xf numFmtId="171" fontId="8" fillId="0" borderId="0" xfId="64" applyFont="1" applyBorder="1" applyAlignment="1">
      <alignment horizontal="right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1" fontId="5" fillId="0" borderId="19" xfId="64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171" fontId="5" fillId="32" borderId="19" xfId="64" applyFont="1" applyFill="1" applyBorder="1" applyAlignment="1">
      <alignment/>
    </xf>
    <xf numFmtId="171" fontId="8" fillId="0" borderId="19" xfId="64" applyFont="1" applyFill="1" applyBorder="1" applyAlignment="1">
      <alignment horizontal="center"/>
    </xf>
    <xf numFmtId="0" fontId="18" fillId="18" borderId="20" xfId="0" applyFont="1" applyFill="1" applyBorder="1" applyAlignment="1">
      <alignment horizontal="center"/>
    </xf>
    <xf numFmtId="0" fontId="17" fillId="18" borderId="21" xfId="0" applyFont="1" applyFill="1" applyBorder="1" applyAlignment="1">
      <alignment horizontal="right"/>
    </xf>
    <xf numFmtId="0" fontId="18" fillId="18" borderId="21" xfId="0" applyFont="1" applyFill="1" applyBorder="1" applyAlignment="1">
      <alignment horizontal="center"/>
    </xf>
    <xf numFmtId="171" fontId="18" fillId="18" borderId="21" xfId="64" applyFont="1" applyFill="1" applyBorder="1" applyAlignment="1">
      <alignment/>
    </xf>
    <xf numFmtId="171" fontId="18" fillId="18" borderId="21" xfId="64" applyFont="1" applyFill="1" applyBorder="1" applyAlignment="1">
      <alignment horizontal="center"/>
    </xf>
    <xf numFmtId="171" fontId="18" fillId="18" borderId="21" xfId="64" applyFont="1" applyFill="1" applyBorder="1" applyAlignment="1">
      <alignment horizontal="right"/>
    </xf>
    <xf numFmtId="171" fontId="17" fillId="18" borderId="21" xfId="64" applyFont="1" applyFill="1" applyBorder="1" applyAlignment="1">
      <alignment/>
    </xf>
    <xf numFmtId="0" fontId="12" fillId="0" borderId="22" xfId="0" applyFont="1" applyBorder="1" applyAlignment="1">
      <alignment/>
    </xf>
    <xf numFmtId="171" fontId="8" fillId="0" borderId="23" xfId="64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71" fontId="5" fillId="0" borderId="0" xfId="6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2" borderId="24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left" vertical="center"/>
    </xf>
    <xf numFmtId="0" fontId="5" fillId="32" borderId="25" xfId="0" applyFont="1" applyFill="1" applyBorder="1" applyAlignment="1">
      <alignment horizontal="center"/>
    </xf>
    <xf numFmtId="171" fontId="5" fillId="32" borderId="25" xfId="64" applyFont="1" applyFill="1" applyBorder="1" applyAlignment="1">
      <alignment/>
    </xf>
    <xf numFmtId="171" fontId="0" fillId="32" borderId="25" xfId="64" applyFont="1" applyFill="1" applyBorder="1" applyAlignment="1">
      <alignment/>
    </xf>
    <xf numFmtId="171" fontId="5" fillId="32" borderId="25" xfId="64" applyNumberFormat="1" applyFont="1" applyFill="1" applyBorder="1" applyAlignment="1">
      <alignment/>
    </xf>
    <xf numFmtId="171" fontId="5" fillId="32" borderId="26" xfId="64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1" fontId="17" fillId="18" borderId="27" xfId="64" applyFont="1" applyFill="1" applyBorder="1" applyAlignment="1">
      <alignment/>
    </xf>
    <xf numFmtId="171" fontId="17" fillId="18" borderId="28" xfId="64" applyFont="1" applyFill="1" applyBorder="1" applyAlignment="1">
      <alignment/>
    </xf>
    <xf numFmtId="171" fontId="8" fillId="0" borderId="29" xfId="64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 shrinkToFit="1"/>
    </xf>
    <xf numFmtId="0" fontId="5" fillId="33" borderId="10" xfId="0" applyFont="1" applyFill="1" applyBorder="1" applyAlignment="1">
      <alignment horizontal="center"/>
    </xf>
    <xf numFmtId="171" fontId="5" fillId="33" borderId="10" xfId="64" applyFont="1" applyFill="1" applyBorder="1" applyAlignment="1">
      <alignment/>
    </xf>
    <xf numFmtId="171" fontId="5" fillId="33" borderId="10" xfId="64" applyFont="1" applyFill="1" applyBorder="1" applyAlignment="1">
      <alignment horizontal="center"/>
    </xf>
    <xf numFmtId="171" fontId="5" fillId="33" borderId="10" xfId="64" applyFont="1" applyFill="1" applyBorder="1" applyAlignment="1">
      <alignment/>
    </xf>
    <xf numFmtId="171" fontId="5" fillId="33" borderId="19" xfId="64" applyFont="1" applyFill="1" applyBorder="1" applyAlignment="1">
      <alignment/>
    </xf>
    <xf numFmtId="171" fontId="5" fillId="32" borderId="25" xfId="64" applyFont="1" applyFill="1" applyBorder="1" applyAlignment="1">
      <alignment horizontal="center"/>
    </xf>
    <xf numFmtId="171" fontId="5" fillId="32" borderId="25" xfId="64" applyFont="1" applyFill="1" applyBorder="1" applyAlignment="1">
      <alignment/>
    </xf>
    <xf numFmtId="177" fontId="22" fillId="0" borderId="0" xfId="49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2" applyFont="1" applyAlignment="1">
      <alignment horizontal="center"/>
    </xf>
    <xf numFmtId="9" fontId="0" fillId="0" borderId="0" xfId="52" applyFont="1" applyAlignment="1">
      <alignment horizontal="center"/>
    </xf>
    <xf numFmtId="0" fontId="1" fillId="0" borderId="0" xfId="0" applyFont="1" applyAlignment="1">
      <alignment horizontal="right"/>
    </xf>
    <xf numFmtId="177" fontId="24" fillId="0" borderId="30" xfId="49" applyFont="1" applyBorder="1" applyAlignment="1">
      <alignment/>
    </xf>
    <xf numFmtId="177" fontId="22" fillId="0" borderId="31" xfId="49" applyFont="1" applyBorder="1" applyAlignment="1">
      <alignment/>
    </xf>
    <xf numFmtId="0" fontId="1" fillId="0" borderId="31" xfId="0" applyFont="1" applyBorder="1" applyAlignment="1">
      <alignment/>
    </xf>
    <xf numFmtId="9" fontId="1" fillId="0" borderId="31" xfId="52" applyFont="1" applyBorder="1" applyAlignment="1">
      <alignment horizontal="center"/>
    </xf>
    <xf numFmtId="0" fontId="0" fillId="0" borderId="31" xfId="0" applyFont="1" applyBorder="1" applyAlignment="1">
      <alignment/>
    </xf>
    <xf numFmtId="9" fontId="0" fillId="0" borderId="31" xfId="52" applyFont="1" applyBorder="1" applyAlignment="1">
      <alignment horizontal="center"/>
    </xf>
    <xf numFmtId="0" fontId="22" fillId="0" borderId="31" xfId="0" applyFont="1" applyBorder="1" applyAlignment="1">
      <alignment/>
    </xf>
    <xf numFmtId="0" fontId="0" fillId="0" borderId="32" xfId="0" applyFont="1" applyBorder="1" applyAlignment="1">
      <alignment/>
    </xf>
    <xf numFmtId="177" fontId="24" fillId="0" borderId="33" xfId="49" applyFont="1" applyBorder="1" applyAlignment="1">
      <alignment/>
    </xf>
    <xf numFmtId="177" fontId="25" fillId="0" borderId="34" xfId="49" applyFont="1" applyBorder="1" applyAlignment="1">
      <alignment/>
    </xf>
    <xf numFmtId="0" fontId="1" fillId="0" borderId="34" xfId="0" applyFont="1" applyBorder="1" applyAlignment="1">
      <alignment/>
    </xf>
    <xf numFmtId="177" fontId="2" fillId="0" borderId="34" xfId="49" applyFont="1" applyBorder="1" applyAlignment="1">
      <alignment/>
    </xf>
    <xf numFmtId="177" fontId="26" fillId="0" borderId="34" xfId="49" applyFont="1" applyBorder="1" applyAlignment="1">
      <alignment/>
    </xf>
    <xf numFmtId="9" fontId="1" fillId="0" borderId="34" xfId="52" applyFont="1" applyBorder="1" applyAlignment="1">
      <alignment horizontal="center"/>
    </xf>
    <xf numFmtId="0" fontId="0" fillId="0" borderId="34" xfId="0" applyFont="1" applyBorder="1" applyAlignment="1">
      <alignment/>
    </xf>
    <xf numFmtId="9" fontId="0" fillId="0" borderId="34" xfId="52" applyFont="1" applyBorder="1" applyAlignment="1">
      <alignment horizontal="center"/>
    </xf>
    <xf numFmtId="0" fontId="0" fillId="0" borderId="35" xfId="0" applyFont="1" applyBorder="1" applyAlignment="1">
      <alignment/>
    </xf>
    <xf numFmtId="0" fontId="26" fillId="0" borderId="36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203" fontId="26" fillId="0" borderId="12" xfId="0" applyNumberFormat="1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9" fontId="26" fillId="0" borderId="37" xfId="52" applyFont="1" applyFill="1" applyBorder="1" applyAlignment="1">
      <alignment horizontal="center"/>
    </xf>
    <xf numFmtId="203" fontId="26" fillId="0" borderId="11" xfId="0" applyNumberFormat="1" applyFont="1" applyFill="1" applyBorder="1" applyAlignment="1">
      <alignment horizontal="center"/>
    </xf>
    <xf numFmtId="0" fontId="2" fillId="0" borderId="38" xfId="49" applyNumberFormat="1" applyFont="1" applyFill="1" applyBorder="1" applyAlignment="1">
      <alignment horizontal="center"/>
    </xf>
    <xf numFmtId="177" fontId="2" fillId="0" borderId="39" xfId="49" applyFont="1" applyFill="1" applyBorder="1" applyAlignment="1">
      <alignment/>
    </xf>
    <xf numFmtId="177" fontId="2" fillId="0" borderId="10" xfId="49" applyFont="1" applyBorder="1" applyAlignment="1">
      <alignment/>
    </xf>
    <xf numFmtId="10" fontId="2" fillId="0" borderId="40" xfId="52" applyNumberFormat="1" applyFont="1" applyBorder="1" applyAlignment="1">
      <alignment horizontal="right"/>
    </xf>
    <xf numFmtId="171" fontId="2" fillId="0" borderId="41" xfId="64" applyFont="1" applyBorder="1" applyAlignment="1">
      <alignment horizontal="center"/>
    </xf>
    <xf numFmtId="9" fontId="2" fillId="0" borderId="40" xfId="52" applyFont="1" applyBorder="1" applyAlignment="1">
      <alignment horizontal="center"/>
    </xf>
    <xf numFmtId="171" fontId="5" fillId="0" borderId="42" xfId="0" applyNumberFormat="1" applyFont="1" applyBorder="1" applyAlignment="1">
      <alignment/>
    </xf>
    <xf numFmtId="9" fontId="5" fillId="0" borderId="43" xfId="0" applyNumberFormat="1" applyFont="1" applyBorder="1" applyAlignment="1">
      <alignment/>
    </xf>
    <xf numFmtId="0" fontId="2" fillId="0" borderId="41" xfId="49" applyNumberFormat="1" applyFont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right"/>
    </xf>
    <xf numFmtId="177" fontId="22" fillId="34" borderId="13" xfId="49" applyFont="1" applyFill="1" applyBorder="1" applyAlignment="1">
      <alignment/>
    </xf>
    <xf numFmtId="9" fontId="22" fillId="34" borderId="13" xfId="52" applyFont="1" applyFill="1" applyBorder="1" applyAlignment="1">
      <alignment/>
    </xf>
    <xf numFmtId="9" fontId="2" fillId="34" borderId="13" xfId="52" applyFont="1" applyFill="1" applyBorder="1" applyAlignment="1">
      <alignment horizontal="center"/>
    </xf>
    <xf numFmtId="171" fontId="2" fillId="34" borderId="13" xfId="64" applyFont="1" applyFill="1" applyBorder="1" applyAlignment="1">
      <alignment horizontal="center"/>
    </xf>
    <xf numFmtId="171" fontId="8" fillId="34" borderId="13" xfId="0" applyNumberFormat="1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right"/>
    </xf>
    <xf numFmtId="177" fontId="26" fillId="0" borderId="13" xfId="49" applyFont="1" applyBorder="1" applyAlignment="1">
      <alignment/>
    </xf>
    <xf numFmtId="10" fontId="26" fillId="0" borderId="13" xfId="52" applyNumberFormat="1" applyFont="1" applyBorder="1" applyAlignment="1">
      <alignment horizontal="center"/>
    </xf>
    <xf numFmtId="171" fontId="2" fillId="0" borderId="13" xfId="64" applyFont="1" applyBorder="1" applyAlignment="1">
      <alignment/>
    </xf>
    <xf numFmtId="9" fontId="2" fillId="0" borderId="13" xfId="52" applyFont="1" applyBorder="1" applyAlignment="1">
      <alignment horizontal="center"/>
    </xf>
    <xf numFmtId="9" fontId="2" fillId="0" borderId="13" xfId="52" applyFont="1" applyBorder="1" applyAlignment="1">
      <alignment/>
    </xf>
    <xf numFmtId="0" fontId="10" fillId="0" borderId="13" xfId="0" applyFont="1" applyBorder="1" applyAlignment="1">
      <alignment/>
    </xf>
    <xf numFmtId="171" fontId="2" fillId="0" borderId="13" xfId="64" applyFont="1" applyBorder="1" applyAlignment="1">
      <alignment horizontal="center"/>
    </xf>
    <xf numFmtId="171" fontId="8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18" borderId="44" xfId="0" applyFont="1" applyFill="1" applyBorder="1" applyAlignment="1">
      <alignment horizontal="center"/>
    </xf>
    <xf numFmtId="0" fontId="10" fillId="18" borderId="45" xfId="0" applyFont="1" applyFill="1" applyBorder="1" applyAlignment="1">
      <alignment horizontal="center"/>
    </xf>
    <xf numFmtId="0" fontId="10" fillId="18" borderId="46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1" fontId="5" fillId="0" borderId="15" xfId="64" applyFont="1" applyBorder="1" applyAlignment="1">
      <alignment horizontal="center" vertical="center"/>
    </xf>
    <xf numFmtId="171" fontId="5" fillId="0" borderId="12" xfId="64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22" fillId="34" borderId="51" xfId="0" applyFont="1" applyFill="1" applyBorder="1" applyAlignment="1">
      <alignment horizontal="center"/>
    </xf>
    <xf numFmtId="0" fontId="22" fillId="34" borderId="52" xfId="0" applyFont="1" applyFill="1" applyBorder="1" applyAlignment="1">
      <alignment horizontal="center"/>
    </xf>
    <xf numFmtId="0" fontId="22" fillId="34" borderId="53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Moeda_Orça.timbó" xfId="49"/>
    <cellStyle name="Neutro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123825</xdr:rowOff>
    </xdr:from>
    <xdr:to>
      <xdr:col>13</xdr:col>
      <xdr:colOff>609600</xdr:colOff>
      <xdr:row>8</xdr:row>
      <xdr:rowOff>0</xdr:rowOff>
    </xdr:to>
    <xdr:sp>
      <xdr:nvSpPr>
        <xdr:cNvPr id="1" name="AutoShape 23"/>
        <xdr:cNvSpPr>
          <a:spLocks/>
        </xdr:cNvSpPr>
      </xdr:nvSpPr>
      <xdr:spPr>
        <a:xfrm>
          <a:off x="12115800" y="895350"/>
          <a:ext cx="981075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 MEXER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(calculo da planilha)</a:t>
          </a:r>
        </a:p>
      </xdr:txBody>
    </xdr:sp>
    <xdr:clientData/>
  </xdr:twoCellAnchor>
  <xdr:twoCellAnchor>
    <xdr:from>
      <xdr:col>11</xdr:col>
      <xdr:colOff>381000</xdr:colOff>
      <xdr:row>4</xdr:row>
      <xdr:rowOff>0</xdr:rowOff>
    </xdr:from>
    <xdr:to>
      <xdr:col>12</xdr:col>
      <xdr:colOff>390525</xdr:colOff>
      <xdr:row>6</xdr:row>
      <xdr:rowOff>66675</xdr:rowOff>
    </xdr:to>
    <xdr:sp>
      <xdr:nvSpPr>
        <xdr:cNvPr id="2" name="AutoShape 24"/>
        <xdr:cNvSpPr>
          <a:spLocks/>
        </xdr:cNvSpPr>
      </xdr:nvSpPr>
      <xdr:spPr>
        <a:xfrm rot="10800000">
          <a:off x="11344275" y="771525"/>
          <a:ext cx="771525" cy="3905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4</xdr:row>
      <xdr:rowOff>123825</xdr:rowOff>
    </xdr:from>
    <xdr:to>
      <xdr:col>13</xdr:col>
      <xdr:colOff>609600</xdr:colOff>
      <xdr:row>8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12115800" y="895350"/>
          <a:ext cx="981075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 MEXER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(calculo da planilha)</a:t>
          </a:r>
        </a:p>
      </xdr:txBody>
    </xdr:sp>
    <xdr:clientData/>
  </xdr:twoCellAnchor>
  <xdr:twoCellAnchor>
    <xdr:from>
      <xdr:col>11</xdr:col>
      <xdr:colOff>381000</xdr:colOff>
      <xdr:row>4</xdr:row>
      <xdr:rowOff>0</xdr:rowOff>
    </xdr:from>
    <xdr:to>
      <xdr:col>12</xdr:col>
      <xdr:colOff>390525</xdr:colOff>
      <xdr:row>6</xdr:row>
      <xdr:rowOff>66675</xdr:rowOff>
    </xdr:to>
    <xdr:sp>
      <xdr:nvSpPr>
        <xdr:cNvPr id="4" name="AutoShape 26"/>
        <xdr:cNvSpPr>
          <a:spLocks/>
        </xdr:cNvSpPr>
      </xdr:nvSpPr>
      <xdr:spPr>
        <a:xfrm rot="10800000">
          <a:off x="11344275" y="771525"/>
          <a:ext cx="771525" cy="3905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RBANISMO\ESCOLAS\Escola%20Nestor%20Margarida\2017\LICITA&#199;&#195;O\OR&#199;AMENTO%20-%20NESTOR%20MARGARIDA%20-%2023-11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CA"/>
      <sheetName val="CFF"/>
    </sheetNames>
    <sheetDataSet>
      <sheetData sheetId="0">
        <row r="1">
          <cell r="A1" t="str">
            <v>PREFEITURA MUNICIPAL DE TIMBÓ</v>
          </cell>
        </row>
        <row r="2">
          <cell r="A2" t="str">
            <v>SECRETARIA DE PLANEJAMENTO, TRÂNSITO E MEIO AMBIENTE</v>
          </cell>
        </row>
        <row r="5">
          <cell r="A5" t="str">
            <v>PROJETO : </v>
          </cell>
        </row>
        <row r="6">
          <cell r="A6" t="str">
            <v>LOCAL: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SheetLayoutView="100" workbookViewId="0" topLeftCell="A1">
      <selection activeCell="H78" sqref="H78"/>
    </sheetView>
  </sheetViews>
  <sheetFormatPr defaultColWidth="11.421875" defaultRowHeight="12.75"/>
  <cols>
    <col min="1" max="1" width="7.57421875" style="2" customWidth="1"/>
    <col min="2" max="2" width="53.00390625" style="1" customWidth="1"/>
    <col min="3" max="3" width="5.28125" style="2" bestFit="1" customWidth="1"/>
    <col min="4" max="4" width="8.8515625" style="10" customWidth="1"/>
    <col min="5" max="5" width="10.7109375" style="22" bestFit="1" customWidth="1"/>
    <col min="6" max="6" width="11.57421875" style="22" bestFit="1" customWidth="1"/>
    <col min="7" max="10" width="14.00390625" style="40" bestFit="1" customWidth="1"/>
    <col min="11" max="16384" width="11.421875" style="1" customWidth="1"/>
  </cols>
  <sheetData>
    <row r="1" spans="1:10" ht="16.5">
      <c r="A1" s="13" t="s">
        <v>5</v>
      </c>
      <c r="E1" s="20"/>
      <c r="F1" s="20"/>
      <c r="G1" s="37"/>
      <c r="H1" s="37"/>
      <c r="I1" s="37"/>
      <c r="J1" s="37"/>
    </row>
    <row r="2" spans="1:10" ht="15">
      <c r="A2" s="14" t="s">
        <v>8</v>
      </c>
      <c r="E2" s="20"/>
      <c r="F2" s="20"/>
      <c r="G2" s="37"/>
      <c r="H2" s="37"/>
      <c r="I2" s="37"/>
      <c r="J2" s="37"/>
    </row>
    <row r="3" spans="1:10" ht="15.75" thickBot="1">
      <c r="A3" s="15"/>
      <c r="B3" s="3"/>
      <c r="C3" s="15"/>
      <c r="D3" s="16"/>
      <c r="E3" s="21"/>
      <c r="F3" s="21"/>
      <c r="G3" s="24"/>
      <c r="H3" s="24"/>
      <c r="I3" s="24"/>
      <c r="J3" s="24"/>
    </row>
    <row r="4" spans="1:12" ht="13.5" thickBot="1">
      <c r="A4" s="161" t="s">
        <v>17</v>
      </c>
      <c r="B4" s="162"/>
      <c r="C4" s="162"/>
      <c r="D4" s="162"/>
      <c r="E4" s="162"/>
      <c r="F4" s="162"/>
      <c r="G4" s="162"/>
      <c r="H4" s="162"/>
      <c r="I4" s="162"/>
      <c r="J4" s="163"/>
      <c r="L4" s="44">
        <v>1.234</v>
      </c>
    </row>
    <row r="5" spans="1:10" ht="12.75">
      <c r="A5" s="71" t="s">
        <v>3</v>
      </c>
      <c r="B5" s="19" t="s">
        <v>26</v>
      </c>
      <c r="C5" s="15"/>
      <c r="D5" s="18"/>
      <c r="E5" s="27"/>
      <c r="F5" s="18"/>
      <c r="G5" s="18"/>
      <c r="H5" s="18"/>
      <c r="I5" s="38"/>
      <c r="J5" s="72"/>
    </row>
    <row r="6" spans="1:10" ht="12.75">
      <c r="A6" s="71" t="s">
        <v>4</v>
      </c>
      <c r="B6" s="17" t="s">
        <v>27</v>
      </c>
      <c r="C6" s="18"/>
      <c r="D6" s="16"/>
      <c r="E6" s="28"/>
      <c r="F6" s="18"/>
      <c r="G6" s="18"/>
      <c r="H6" s="29"/>
      <c r="I6" s="172" t="s">
        <v>134</v>
      </c>
      <c r="J6" s="173"/>
    </row>
    <row r="7" spans="1:10" ht="13.5" thickBot="1">
      <c r="A7" s="73"/>
      <c r="B7" s="51"/>
      <c r="C7" s="18"/>
      <c r="D7" s="52"/>
      <c r="E7" s="28"/>
      <c r="F7" s="18"/>
      <c r="G7" s="18"/>
      <c r="H7" s="53"/>
      <c r="I7" s="53"/>
      <c r="J7" s="72"/>
    </row>
    <row r="8" spans="1:10" ht="12.75" customHeight="1">
      <c r="A8" s="164" t="s">
        <v>0</v>
      </c>
      <c r="B8" s="166" t="s">
        <v>1</v>
      </c>
      <c r="C8" s="168" t="s">
        <v>14</v>
      </c>
      <c r="D8" s="170" t="s">
        <v>2</v>
      </c>
      <c r="E8" s="54" t="s">
        <v>20</v>
      </c>
      <c r="F8" s="54" t="s">
        <v>21</v>
      </c>
      <c r="G8" s="54" t="s">
        <v>22</v>
      </c>
      <c r="H8" s="54" t="s">
        <v>23</v>
      </c>
      <c r="I8" s="55" t="s">
        <v>12</v>
      </c>
      <c r="J8" s="56" t="s">
        <v>13</v>
      </c>
    </row>
    <row r="9" spans="1:10" ht="13.5" customHeight="1" thickBot="1">
      <c r="A9" s="165"/>
      <c r="B9" s="167"/>
      <c r="C9" s="169"/>
      <c r="D9" s="171"/>
      <c r="E9" s="30" t="s">
        <v>6</v>
      </c>
      <c r="F9" s="30" t="s">
        <v>6</v>
      </c>
      <c r="G9" s="30" t="s">
        <v>6</v>
      </c>
      <c r="H9" s="30" t="s">
        <v>6</v>
      </c>
      <c r="I9" s="31" t="s">
        <v>6</v>
      </c>
      <c r="J9" s="57" t="s">
        <v>6</v>
      </c>
    </row>
    <row r="10" spans="1:16" ht="13.5" thickTop="1">
      <c r="A10" s="79">
        <v>1</v>
      </c>
      <c r="B10" s="80" t="s">
        <v>28</v>
      </c>
      <c r="C10" s="81"/>
      <c r="D10" s="82"/>
      <c r="E10" s="83"/>
      <c r="F10" s="83"/>
      <c r="G10" s="84"/>
      <c r="H10" s="84"/>
      <c r="I10" s="84"/>
      <c r="J10" s="85"/>
      <c r="K10" s="3"/>
      <c r="L10" s="3"/>
      <c r="M10" s="3"/>
      <c r="N10" s="3"/>
      <c r="O10" s="3"/>
      <c r="P10" s="3"/>
    </row>
    <row r="11" spans="1:16" ht="15" customHeight="1">
      <c r="A11" s="58" t="s">
        <v>9</v>
      </c>
      <c r="B11" s="86" t="s">
        <v>29</v>
      </c>
      <c r="C11" s="6" t="s">
        <v>16</v>
      </c>
      <c r="D11" s="11">
        <v>1</v>
      </c>
      <c r="E11" s="32">
        <v>218.54</v>
      </c>
      <c r="F11" s="33"/>
      <c r="G11" s="32">
        <f>SUM(D11*E11)</f>
        <v>218.54</v>
      </c>
      <c r="H11" s="32">
        <f>SUM(D11*F11)</f>
        <v>0</v>
      </c>
      <c r="I11" s="34">
        <f>SUM(G11:H11)</f>
        <v>218.54</v>
      </c>
      <c r="J11" s="59">
        <f>SUM(I11*$L$4)</f>
        <v>269.67836</v>
      </c>
      <c r="K11" s="3"/>
      <c r="L11" s="3"/>
      <c r="M11" s="3"/>
      <c r="N11" s="3"/>
      <c r="O11" s="3"/>
      <c r="P11" s="3"/>
    </row>
    <row r="12" spans="1:16" ht="15" customHeight="1">
      <c r="A12" s="58" t="s">
        <v>32</v>
      </c>
      <c r="B12" s="86" t="s">
        <v>30</v>
      </c>
      <c r="C12" s="6" t="s">
        <v>11</v>
      </c>
      <c r="D12" s="11">
        <f>ROUND(2*1.5,2)</f>
        <v>3</v>
      </c>
      <c r="E12" s="32">
        <v>49.44</v>
      </c>
      <c r="F12" s="33">
        <f>ROUND(274.39+0.15,2)</f>
        <v>274.54</v>
      </c>
      <c r="G12" s="32">
        <f>SUM(D12*E12)</f>
        <v>148.32</v>
      </c>
      <c r="H12" s="32">
        <f>SUM(D12*F12)</f>
        <v>823.6200000000001</v>
      </c>
      <c r="I12" s="34">
        <f>SUM(G12:H12)</f>
        <v>971.94</v>
      </c>
      <c r="J12" s="59">
        <f>SUM(I12*$L$4)</f>
        <v>1199.3739600000001</v>
      </c>
      <c r="K12" s="3"/>
      <c r="L12" s="88" t="s">
        <v>31</v>
      </c>
      <c r="M12" s="3"/>
      <c r="N12" s="3"/>
      <c r="O12" s="3"/>
      <c r="P12" s="3"/>
    </row>
    <row r="13" spans="1:16" s="9" customFormat="1" ht="12.75">
      <c r="A13" s="60"/>
      <c r="B13" s="50" t="s">
        <v>10</v>
      </c>
      <c r="C13" s="7"/>
      <c r="D13" s="12"/>
      <c r="E13" s="35"/>
      <c r="F13" s="36"/>
      <c r="G13" s="35">
        <f>SUM(G11:G12)</f>
        <v>366.86</v>
      </c>
      <c r="H13" s="35">
        <f>SUM(H11:H12)</f>
        <v>823.6200000000001</v>
      </c>
      <c r="I13" s="35">
        <f>SUM(I11:I12)</f>
        <v>1190.48</v>
      </c>
      <c r="J13" s="63">
        <f>SUM(J11:J12)</f>
        <v>1469.0523200000002</v>
      </c>
      <c r="K13" s="8"/>
      <c r="L13" s="89"/>
      <c r="M13" s="8"/>
      <c r="N13" s="8"/>
      <c r="O13" s="8"/>
      <c r="P13" s="8"/>
    </row>
    <row r="14" spans="1:16" s="4" customFormat="1" ht="12.75">
      <c r="A14" s="61">
        <v>2</v>
      </c>
      <c r="B14" s="45" t="s">
        <v>69</v>
      </c>
      <c r="C14" s="46"/>
      <c r="D14" s="47"/>
      <c r="E14" s="48"/>
      <c r="F14" s="48"/>
      <c r="G14" s="48"/>
      <c r="H14" s="48"/>
      <c r="I14" s="49"/>
      <c r="J14" s="62"/>
      <c r="K14" s="5"/>
      <c r="L14" s="87"/>
      <c r="M14" s="5"/>
      <c r="N14" s="5"/>
      <c r="O14" s="5"/>
      <c r="P14" s="5"/>
    </row>
    <row r="15" spans="1:16" ht="12.75">
      <c r="A15" s="58" t="s">
        <v>25</v>
      </c>
      <c r="B15" s="86" t="s">
        <v>138</v>
      </c>
      <c r="C15" s="6" t="s">
        <v>64</v>
      </c>
      <c r="D15" s="11">
        <v>35</v>
      </c>
      <c r="E15" s="32">
        <v>10.62</v>
      </c>
      <c r="F15" s="33">
        <v>27.45</v>
      </c>
      <c r="G15" s="32">
        <f>SUM(D15*E15)</f>
        <v>371.7</v>
      </c>
      <c r="H15" s="32">
        <f>SUM(D15*F15)</f>
        <v>960.75</v>
      </c>
      <c r="I15" s="34">
        <f>SUM(G15:H15)</f>
        <v>1332.45</v>
      </c>
      <c r="J15" s="59">
        <f>SUM(I15*$L$4)</f>
        <v>1644.2433</v>
      </c>
      <c r="K15" s="3"/>
      <c r="L15" s="87">
        <v>92690</v>
      </c>
      <c r="M15" s="3"/>
      <c r="N15" s="3"/>
      <c r="O15" s="3"/>
      <c r="P15" s="3"/>
    </row>
    <row r="16" spans="1:16" ht="12.75">
      <c r="A16" s="94" t="s">
        <v>59</v>
      </c>
      <c r="B16" s="95" t="s">
        <v>57</v>
      </c>
      <c r="C16" s="96"/>
      <c r="D16" s="97"/>
      <c r="E16" s="98"/>
      <c r="F16" s="98"/>
      <c r="G16" s="98"/>
      <c r="H16" s="98"/>
      <c r="I16" s="99"/>
      <c r="J16" s="100"/>
      <c r="K16" s="3"/>
      <c r="L16" s="88"/>
      <c r="M16" s="3"/>
      <c r="N16" s="3"/>
      <c r="O16" s="3"/>
      <c r="P16" s="3"/>
    </row>
    <row r="17" spans="1:16" ht="12.75">
      <c r="A17" s="58" t="s">
        <v>60</v>
      </c>
      <c r="B17" s="86" t="s">
        <v>58</v>
      </c>
      <c r="C17" s="6" t="s">
        <v>24</v>
      </c>
      <c r="D17" s="11">
        <f>ROUND((0.2*0.6*35),2)</f>
        <v>4.2</v>
      </c>
      <c r="E17" s="32">
        <v>104.7</v>
      </c>
      <c r="F17" s="33">
        <v>15.42</v>
      </c>
      <c r="G17" s="32">
        <f>SUM(D17*E17)</f>
        <v>439.74</v>
      </c>
      <c r="H17" s="32">
        <f>SUM(D17*F17)</f>
        <v>64.764</v>
      </c>
      <c r="I17" s="34">
        <f>SUM(G17:H17)</f>
        <v>504.504</v>
      </c>
      <c r="J17" s="59">
        <f>SUM(I17*$L$4)</f>
        <v>622.557936</v>
      </c>
      <c r="K17" s="3"/>
      <c r="L17" s="88">
        <v>96522</v>
      </c>
      <c r="M17" s="3"/>
      <c r="N17" s="3"/>
      <c r="O17" s="3"/>
      <c r="P17" s="3"/>
    </row>
    <row r="18" spans="1:16" ht="12.75">
      <c r="A18" s="58" t="s">
        <v>61</v>
      </c>
      <c r="B18" s="86" t="s">
        <v>63</v>
      </c>
      <c r="C18" s="6" t="s">
        <v>24</v>
      </c>
      <c r="D18" s="11">
        <f>ROUND((0.2*0.4*35),2)</f>
        <v>2.8</v>
      </c>
      <c r="E18" s="32">
        <v>39.19</v>
      </c>
      <c r="F18" s="33"/>
      <c r="G18" s="32">
        <f>SUM(D18*E18)</f>
        <v>109.73199999999999</v>
      </c>
      <c r="H18" s="32">
        <f>SUM(D18*F18)</f>
        <v>0</v>
      </c>
      <c r="I18" s="34">
        <f>SUM(G18:H18)</f>
        <v>109.73199999999999</v>
      </c>
      <c r="J18" s="59">
        <f>SUM(I18*$L$4)</f>
        <v>135.40928799999998</v>
      </c>
      <c r="K18" s="3"/>
      <c r="L18" s="88">
        <v>96995</v>
      </c>
      <c r="M18" s="3"/>
      <c r="N18" s="3"/>
      <c r="O18" s="3"/>
      <c r="P18" s="3"/>
    </row>
    <row r="19" spans="1:16" ht="12.75">
      <c r="A19" s="58" t="s">
        <v>62</v>
      </c>
      <c r="B19" s="86" t="s">
        <v>40</v>
      </c>
      <c r="C19" s="6" t="s">
        <v>24</v>
      </c>
      <c r="D19" s="11">
        <f>ROUND((0.2*0.2*35),2)</f>
        <v>1.4</v>
      </c>
      <c r="E19" s="32">
        <v>59.94</v>
      </c>
      <c r="F19" s="33">
        <f>245.97+0.6</f>
        <v>246.57</v>
      </c>
      <c r="G19" s="32">
        <f>SUM(D19*E19)</f>
        <v>83.916</v>
      </c>
      <c r="H19" s="32">
        <f>SUM(D19*F19)</f>
        <v>345.198</v>
      </c>
      <c r="I19" s="34">
        <f>SUM(G19:H19)</f>
        <v>429.114</v>
      </c>
      <c r="J19" s="59">
        <f>SUM(I19*$L$4)</f>
        <v>529.526676</v>
      </c>
      <c r="K19" s="3"/>
      <c r="L19" s="88">
        <v>94965</v>
      </c>
      <c r="M19" s="3"/>
      <c r="N19" s="3"/>
      <c r="O19" s="3"/>
      <c r="P19" s="3"/>
    </row>
    <row r="20" spans="1:16" ht="12.75">
      <c r="A20" s="58" t="s">
        <v>70</v>
      </c>
      <c r="B20" s="86" t="s">
        <v>55</v>
      </c>
      <c r="C20" s="6" t="s">
        <v>11</v>
      </c>
      <c r="D20" s="11">
        <v>1.8</v>
      </c>
      <c r="E20" s="32">
        <f>ROUND((386.14+8.93),2)</f>
        <v>395.07</v>
      </c>
      <c r="F20" s="33">
        <f>ROUND((293.93+1.69),2)</f>
        <v>295.62</v>
      </c>
      <c r="G20" s="32">
        <f>SUM(D20*E20)</f>
        <v>711.126</v>
      </c>
      <c r="H20" s="32">
        <f>SUM(D20*F20)</f>
        <v>532.116</v>
      </c>
      <c r="I20" s="34">
        <f>SUM(G20:H20)</f>
        <v>1243.242</v>
      </c>
      <c r="J20" s="59">
        <f>SUM(I20*$L$4)</f>
        <v>1534.1606279999999</v>
      </c>
      <c r="K20" s="3"/>
      <c r="L20" s="87" t="s">
        <v>56</v>
      </c>
      <c r="M20" s="3"/>
      <c r="N20" s="3"/>
      <c r="O20" s="3"/>
      <c r="P20" s="3"/>
    </row>
    <row r="21" spans="1:16" ht="22.5">
      <c r="A21" s="58" t="s">
        <v>71</v>
      </c>
      <c r="B21" s="86" t="s">
        <v>80</v>
      </c>
      <c r="C21" s="6" t="s">
        <v>16</v>
      </c>
      <c r="D21" s="11">
        <v>1</v>
      </c>
      <c r="E21" s="32">
        <v>2398.2</v>
      </c>
      <c r="F21" s="33">
        <f>ROUND(3114.76+7,2)</f>
        <v>3121.76</v>
      </c>
      <c r="G21" s="32">
        <f>SUM(D21*E21)</f>
        <v>2398.2</v>
      </c>
      <c r="H21" s="32">
        <f>SUM(D21*F21)</f>
        <v>3121.76</v>
      </c>
      <c r="I21" s="34">
        <f>SUM(G21:H21)</f>
        <v>5519.96</v>
      </c>
      <c r="J21" s="59">
        <f>SUM(I21*$L$4)</f>
        <v>6811.63064</v>
      </c>
      <c r="K21" s="3"/>
      <c r="L21" s="87" t="s">
        <v>83</v>
      </c>
      <c r="M21" s="3"/>
      <c r="N21" s="3"/>
      <c r="O21" s="3"/>
      <c r="P21" s="3"/>
    </row>
    <row r="22" spans="1:16" s="9" customFormat="1" ht="12.75">
      <c r="A22" s="58"/>
      <c r="B22" s="50" t="s">
        <v>10</v>
      </c>
      <c r="C22" s="7"/>
      <c r="D22" s="12"/>
      <c r="E22" s="35"/>
      <c r="F22" s="36"/>
      <c r="G22" s="35">
        <f>SUM(G15:G21)</f>
        <v>4114.414</v>
      </c>
      <c r="H22" s="35">
        <f>SUM(H15:H21)</f>
        <v>5024.588</v>
      </c>
      <c r="I22" s="35">
        <f>SUM(I15:I21)</f>
        <v>9139.002</v>
      </c>
      <c r="J22" s="63">
        <f>SUM(J15:J21)</f>
        <v>11277.528468</v>
      </c>
      <c r="K22" s="8"/>
      <c r="L22" s="8"/>
      <c r="M22" s="8"/>
      <c r="N22" s="8"/>
      <c r="O22" s="8"/>
      <c r="P22" s="8"/>
    </row>
    <row r="23" spans="1:16" s="4" customFormat="1" ht="12.75">
      <c r="A23" s="61">
        <v>3</v>
      </c>
      <c r="B23" s="45" t="s">
        <v>43</v>
      </c>
      <c r="C23" s="46"/>
      <c r="D23" s="47"/>
      <c r="E23" s="48"/>
      <c r="F23" s="48"/>
      <c r="G23" s="48"/>
      <c r="H23" s="48"/>
      <c r="I23" s="49"/>
      <c r="J23" s="62"/>
      <c r="K23" s="5"/>
      <c r="L23" s="87"/>
      <c r="M23" s="5"/>
      <c r="N23" s="5"/>
      <c r="O23" s="5"/>
      <c r="P23" s="5"/>
    </row>
    <row r="24" spans="1:16" ht="12.75">
      <c r="A24" s="58" t="s">
        <v>45</v>
      </c>
      <c r="B24" s="86" t="s">
        <v>53</v>
      </c>
      <c r="C24" s="6" t="s">
        <v>16</v>
      </c>
      <c r="D24" s="11">
        <v>1</v>
      </c>
      <c r="E24" s="32"/>
      <c r="F24" s="33">
        <f>ROUND((15000+9234+9900)/3,2)</f>
        <v>11378</v>
      </c>
      <c r="G24" s="32">
        <f>SUM(D24*E24)</f>
        <v>0</v>
      </c>
      <c r="H24" s="32">
        <f>SUM(D24*F24)</f>
        <v>11378</v>
      </c>
      <c r="I24" s="34">
        <f>SUM(G24:H24)</f>
        <v>11378</v>
      </c>
      <c r="J24" s="59">
        <f>SUM(I24*$L$4)</f>
        <v>14040.452</v>
      </c>
      <c r="K24" s="17"/>
      <c r="L24" s="90" t="s">
        <v>54</v>
      </c>
      <c r="M24" s="3"/>
      <c r="N24" s="3"/>
      <c r="O24" s="3"/>
      <c r="P24" s="3"/>
    </row>
    <row r="25" spans="1:16" ht="12.75">
      <c r="A25" s="94" t="s">
        <v>67</v>
      </c>
      <c r="B25" s="95" t="s">
        <v>34</v>
      </c>
      <c r="C25" s="96"/>
      <c r="D25" s="97"/>
      <c r="E25" s="98"/>
      <c r="F25" s="98"/>
      <c r="G25" s="98"/>
      <c r="H25" s="98"/>
      <c r="I25" s="99"/>
      <c r="J25" s="100"/>
      <c r="K25" s="3"/>
      <c r="L25" s="88"/>
      <c r="M25" s="3"/>
      <c r="N25" s="3"/>
      <c r="O25" s="3"/>
      <c r="P25" s="3"/>
    </row>
    <row r="26" spans="1:16" ht="12.75" customHeight="1">
      <c r="A26" s="58" t="s">
        <v>72</v>
      </c>
      <c r="B26" s="86" t="s">
        <v>33</v>
      </c>
      <c r="C26" s="6" t="s">
        <v>24</v>
      </c>
      <c r="D26" s="11">
        <f>ROUND((1.5*0.5*0.3),2)</f>
        <v>0.23</v>
      </c>
      <c r="E26" s="32">
        <v>104.7</v>
      </c>
      <c r="F26" s="33">
        <f>ROUND(15.11+0.31,2)</f>
        <v>15.42</v>
      </c>
      <c r="G26" s="32">
        <f>SUM(D26*E26)</f>
        <v>24.081000000000003</v>
      </c>
      <c r="H26" s="32">
        <f>SUM(D26*F26)</f>
        <v>3.5466</v>
      </c>
      <c r="I26" s="34">
        <f>SUM(G26:H26)</f>
        <v>27.627600000000005</v>
      </c>
      <c r="J26" s="59">
        <f>SUM(I26*$L$4)</f>
        <v>34.092458400000005</v>
      </c>
      <c r="K26" s="3"/>
      <c r="L26" s="88">
        <v>96522</v>
      </c>
      <c r="M26" s="3"/>
      <c r="N26" s="3"/>
      <c r="O26" s="3"/>
      <c r="P26" s="3"/>
    </row>
    <row r="27" spans="1:16" ht="12.75">
      <c r="A27" s="58" t="s">
        <v>73</v>
      </c>
      <c r="B27" s="86" t="s">
        <v>35</v>
      </c>
      <c r="C27" s="6" t="s">
        <v>36</v>
      </c>
      <c r="D27" s="11">
        <f>ROUND(18.59*0.395,2)</f>
        <v>7.34</v>
      </c>
      <c r="E27" s="32"/>
      <c r="F27" s="33">
        <v>5.51</v>
      </c>
      <c r="G27" s="32">
        <f>SUM(D27*E27)</f>
        <v>0</v>
      </c>
      <c r="H27" s="32">
        <f>SUM(D27*F27)</f>
        <v>40.4434</v>
      </c>
      <c r="I27" s="34">
        <f>SUM(G27:H27)</f>
        <v>40.4434</v>
      </c>
      <c r="J27" s="59">
        <f>SUM(I27*$L$4)</f>
        <v>49.907155599999996</v>
      </c>
      <c r="K27" s="3"/>
      <c r="L27" s="88">
        <v>33</v>
      </c>
      <c r="M27" s="3"/>
      <c r="N27" s="3" t="s">
        <v>39</v>
      </c>
      <c r="O27" s="3"/>
      <c r="P27" s="3"/>
    </row>
    <row r="28" spans="1:16" ht="12.75">
      <c r="A28" s="58" t="s">
        <v>74</v>
      </c>
      <c r="B28" s="86" t="s">
        <v>37</v>
      </c>
      <c r="C28" s="6" t="s">
        <v>36</v>
      </c>
      <c r="D28" s="11">
        <f>D27</f>
        <v>7.34</v>
      </c>
      <c r="E28" s="32">
        <v>3.29</v>
      </c>
      <c r="F28" s="33">
        <v>6.84</v>
      </c>
      <c r="G28" s="32">
        <f>SUM(D28*E28)</f>
        <v>24.1486</v>
      </c>
      <c r="H28" s="32">
        <f>SUM(D28*F28)</f>
        <v>50.2056</v>
      </c>
      <c r="I28" s="34">
        <f>SUM(G28:H28)</f>
        <v>74.35419999999999</v>
      </c>
      <c r="J28" s="59">
        <f>SUM(I28*$L$4)</f>
        <v>91.75308279999999</v>
      </c>
      <c r="K28" s="3"/>
      <c r="L28" s="88">
        <v>96545</v>
      </c>
      <c r="M28" s="3"/>
      <c r="N28" s="3" t="s">
        <v>38</v>
      </c>
      <c r="O28" s="3"/>
      <c r="P28" s="3"/>
    </row>
    <row r="29" spans="1:16" ht="12.75">
      <c r="A29" s="58" t="s">
        <v>75</v>
      </c>
      <c r="B29" s="86" t="s">
        <v>40</v>
      </c>
      <c r="C29" s="6" t="s">
        <v>24</v>
      </c>
      <c r="D29" s="11">
        <f>ROUND(1.5*0.5*0.3,2)</f>
        <v>0.23</v>
      </c>
      <c r="E29" s="32">
        <v>59.94</v>
      </c>
      <c r="F29" s="33">
        <f>245.97+0.6</f>
        <v>246.57</v>
      </c>
      <c r="G29" s="32">
        <f>SUM(D29*E29)</f>
        <v>13.786200000000001</v>
      </c>
      <c r="H29" s="32">
        <f>SUM(D29*F29)</f>
        <v>56.7111</v>
      </c>
      <c r="I29" s="34">
        <f>SUM(G29:H29)</f>
        <v>70.4973</v>
      </c>
      <c r="J29" s="59">
        <f>SUM(I29*$L$4)</f>
        <v>86.99366819999999</v>
      </c>
      <c r="K29" s="3"/>
      <c r="L29" s="88">
        <v>94965</v>
      </c>
      <c r="M29" s="3"/>
      <c r="N29" s="3"/>
      <c r="O29" s="3"/>
      <c r="P29" s="3"/>
    </row>
    <row r="30" spans="1:16" ht="12.75">
      <c r="A30" s="94" t="s">
        <v>68</v>
      </c>
      <c r="B30" s="95" t="s">
        <v>41</v>
      </c>
      <c r="C30" s="96"/>
      <c r="D30" s="97"/>
      <c r="E30" s="98"/>
      <c r="F30" s="98"/>
      <c r="G30" s="98"/>
      <c r="H30" s="98"/>
      <c r="I30" s="99"/>
      <c r="J30" s="100"/>
      <c r="K30" s="3"/>
      <c r="L30" s="88"/>
      <c r="M30" s="3"/>
      <c r="N30" s="3"/>
      <c r="O30" s="3"/>
      <c r="P30" s="3"/>
    </row>
    <row r="31" spans="1:16" ht="12.75" customHeight="1">
      <c r="A31" s="58" t="s">
        <v>76</v>
      </c>
      <c r="B31" s="86" t="s">
        <v>33</v>
      </c>
      <c r="C31" s="6" t="s">
        <v>24</v>
      </c>
      <c r="D31" s="11">
        <f>ROUND((0.4*0.4*1),2)</f>
        <v>0.16</v>
      </c>
      <c r="E31" s="32">
        <v>104.7</v>
      </c>
      <c r="F31" s="33">
        <f>ROUND(15.11+0.31,2)</f>
        <v>15.42</v>
      </c>
      <c r="G31" s="32">
        <f aca="true" t="shared" si="0" ref="G31:G38">SUM(D31*E31)</f>
        <v>16.752000000000002</v>
      </c>
      <c r="H31" s="32">
        <f aca="true" t="shared" si="1" ref="H31:H38">SUM(D31*F31)</f>
        <v>2.4672</v>
      </c>
      <c r="I31" s="34">
        <f aca="true" t="shared" si="2" ref="I31:I38">SUM(G31:H31)</f>
        <v>19.2192</v>
      </c>
      <c r="J31" s="59">
        <f aca="true" t="shared" si="3" ref="J31:J38">SUM(I31*$L$4)</f>
        <v>23.7164928</v>
      </c>
      <c r="K31" s="3"/>
      <c r="L31" s="88">
        <v>96522</v>
      </c>
      <c r="M31" s="3"/>
      <c r="N31" s="3"/>
      <c r="O31" s="3"/>
      <c r="P31" s="3"/>
    </row>
    <row r="32" spans="1:16" ht="12.75">
      <c r="A32" s="58" t="s">
        <v>77</v>
      </c>
      <c r="B32" s="86" t="s">
        <v>35</v>
      </c>
      <c r="C32" s="6" t="s">
        <v>36</v>
      </c>
      <c r="D32" s="11">
        <f>ROUND(12.94*0.395,2)</f>
        <v>5.11</v>
      </c>
      <c r="E32" s="32"/>
      <c r="F32" s="33">
        <v>5.51</v>
      </c>
      <c r="G32" s="32">
        <f t="shared" si="0"/>
        <v>0</v>
      </c>
      <c r="H32" s="32">
        <f t="shared" si="1"/>
        <v>28.156100000000002</v>
      </c>
      <c r="I32" s="34">
        <f t="shared" si="2"/>
        <v>28.156100000000002</v>
      </c>
      <c r="J32" s="59">
        <f t="shared" si="3"/>
        <v>34.7446274</v>
      </c>
      <c r="K32" s="3"/>
      <c r="L32" s="88">
        <v>33</v>
      </c>
      <c r="M32" s="3"/>
      <c r="N32" s="3" t="s">
        <v>42</v>
      </c>
      <c r="O32" s="3"/>
      <c r="P32" s="3"/>
    </row>
    <row r="33" spans="1:16" ht="12.75">
      <c r="A33" s="58" t="s">
        <v>78</v>
      </c>
      <c r="B33" s="86" t="s">
        <v>37</v>
      </c>
      <c r="C33" s="6" t="s">
        <v>36</v>
      </c>
      <c r="D33" s="11">
        <f>D32</f>
        <v>5.11</v>
      </c>
      <c r="E33" s="32">
        <v>3.29</v>
      </c>
      <c r="F33" s="33">
        <v>6.84</v>
      </c>
      <c r="G33" s="32">
        <f t="shared" si="0"/>
        <v>16.8119</v>
      </c>
      <c r="H33" s="32">
        <f t="shared" si="1"/>
        <v>34.952400000000004</v>
      </c>
      <c r="I33" s="34">
        <f t="shared" si="2"/>
        <v>51.764300000000006</v>
      </c>
      <c r="J33" s="59">
        <f t="shared" si="3"/>
        <v>63.877146200000006</v>
      </c>
      <c r="K33" s="3"/>
      <c r="L33" s="88">
        <v>96545</v>
      </c>
      <c r="M33" s="3"/>
      <c r="N33" s="3" t="s">
        <v>38</v>
      </c>
      <c r="O33" s="3"/>
      <c r="P33" s="3"/>
    </row>
    <row r="34" spans="1:16" ht="12.75">
      <c r="A34" s="58" t="s">
        <v>79</v>
      </c>
      <c r="B34" s="86" t="s">
        <v>40</v>
      </c>
      <c r="C34" s="6" t="s">
        <v>24</v>
      </c>
      <c r="D34" s="11">
        <f>ROUND(0.4*0.4*1,2)</f>
        <v>0.16</v>
      </c>
      <c r="E34" s="32">
        <v>59.94</v>
      </c>
      <c r="F34" s="33">
        <f>245.97+0.6</f>
        <v>246.57</v>
      </c>
      <c r="G34" s="32">
        <f t="shared" si="0"/>
        <v>9.5904</v>
      </c>
      <c r="H34" s="32">
        <f t="shared" si="1"/>
        <v>39.4512</v>
      </c>
      <c r="I34" s="34">
        <f t="shared" si="2"/>
        <v>49.0416</v>
      </c>
      <c r="J34" s="59">
        <f t="shared" si="3"/>
        <v>60.5173344</v>
      </c>
      <c r="K34" s="3"/>
      <c r="L34" s="88">
        <v>94965</v>
      </c>
      <c r="M34" s="3"/>
      <c r="N34" s="3"/>
      <c r="O34" s="3"/>
      <c r="P34" s="3"/>
    </row>
    <row r="35" spans="1:16" ht="12.75">
      <c r="A35" s="58" t="s">
        <v>46</v>
      </c>
      <c r="B35" s="86" t="s">
        <v>44</v>
      </c>
      <c r="C35" s="6" t="s">
        <v>16</v>
      </c>
      <c r="D35" s="11">
        <v>8</v>
      </c>
      <c r="E35" s="32">
        <v>10.2</v>
      </c>
      <c r="F35" s="33">
        <v>104.64</v>
      </c>
      <c r="G35" s="32">
        <f t="shared" si="0"/>
        <v>81.6</v>
      </c>
      <c r="H35" s="32">
        <f t="shared" si="1"/>
        <v>837.12</v>
      </c>
      <c r="I35" s="34">
        <f t="shared" si="2"/>
        <v>918.72</v>
      </c>
      <c r="J35" s="59">
        <f t="shared" si="3"/>
        <v>1133.70048</v>
      </c>
      <c r="K35" s="3"/>
      <c r="L35" s="87">
        <v>72553</v>
      </c>
      <c r="M35" s="3"/>
      <c r="N35" s="3"/>
      <c r="O35" s="3"/>
      <c r="P35" s="3"/>
    </row>
    <row r="36" spans="1:16" ht="12.75">
      <c r="A36" s="58" t="s">
        <v>47</v>
      </c>
      <c r="B36" s="86" t="s">
        <v>48</v>
      </c>
      <c r="C36" s="6" t="s">
        <v>16</v>
      </c>
      <c r="D36" s="11">
        <v>25</v>
      </c>
      <c r="E36" s="32">
        <v>16.04</v>
      </c>
      <c r="F36" s="33">
        <v>60.56</v>
      </c>
      <c r="G36" s="32">
        <f t="shared" si="0"/>
        <v>401</v>
      </c>
      <c r="H36" s="32">
        <f t="shared" si="1"/>
        <v>1514</v>
      </c>
      <c r="I36" s="34">
        <f t="shared" si="2"/>
        <v>1915</v>
      </c>
      <c r="J36" s="59">
        <f t="shared" si="3"/>
        <v>2363.11</v>
      </c>
      <c r="K36" s="3"/>
      <c r="L36" s="17" t="s">
        <v>50</v>
      </c>
      <c r="M36" s="3"/>
      <c r="N36" s="3"/>
      <c r="O36" s="3"/>
      <c r="P36" s="3"/>
    </row>
    <row r="37" spans="1:16" ht="12.75">
      <c r="A37" s="58" t="s">
        <v>51</v>
      </c>
      <c r="B37" s="86" t="s">
        <v>49</v>
      </c>
      <c r="C37" s="6" t="s">
        <v>16</v>
      </c>
      <c r="D37" s="11">
        <v>23</v>
      </c>
      <c r="E37" s="32">
        <v>16.05</v>
      </c>
      <c r="F37" s="33">
        <v>76.6</v>
      </c>
      <c r="G37" s="32">
        <f t="shared" si="0"/>
        <v>369.15000000000003</v>
      </c>
      <c r="H37" s="32">
        <f t="shared" si="1"/>
        <v>1761.8</v>
      </c>
      <c r="I37" s="34">
        <f t="shared" si="2"/>
        <v>2130.95</v>
      </c>
      <c r="J37" s="59">
        <f t="shared" si="3"/>
        <v>2629.5923</v>
      </c>
      <c r="K37" s="3"/>
      <c r="L37" s="88"/>
      <c r="M37" s="3"/>
      <c r="N37" s="3"/>
      <c r="O37" s="3"/>
      <c r="P37" s="3"/>
    </row>
    <row r="38" spans="1:16" ht="12.75">
      <c r="A38" s="58" t="s">
        <v>52</v>
      </c>
      <c r="B38" s="86" t="s">
        <v>65</v>
      </c>
      <c r="C38" s="6" t="s">
        <v>64</v>
      </c>
      <c r="D38" s="11">
        <v>10.35</v>
      </c>
      <c r="E38" s="32">
        <v>46.42</v>
      </c>
      <c r="F38" s="33">
        <f>ROUND(60.73+0.15,2)</f>
        <v>60.88</v>
      </c>
      <c r="G38" s="32">
        <f t="shared" si="0"/>
        <v>480.447</v>
      </c>
      <c r="H38" s="32">
        <f t="shared" si="1"/>
        <v>630.1080000000001</v>
      </c>
      <c r="I38" s="34">
        <f t="shared" si="2"/>
        <v>1110.555</v>
      </c>
      <c r="J38" s="59">
        <f t="shared" si="3"/>
        <v>1370.42487</v>
      </c>
      <c r="K38" s="3"/>
      <c r="L38" s="87" t="s">
        <v>66</v>
      </c>
      <c r="M38" s="3"/>
      <c r="N38" s="3"/>
      <c r="O38" s="3"/>
      <c r="P38" s="3"/>
    </row>
    <row r="39" spans="1:16" s="9" customFormat="1" ht="12.75">
      <c r="A39" s="58"/>
      <c r="B39" s="50" t="s">
        <v>10</v>
      </c>
      <c r="C39" s="7"/>
      <c r="D39" s="12"/>
      <c r="E39" s="35"/>
      <c r="F39" s="36"/>
      <c r="G39" s="35">
        <f>SUM(G24:G38)</f>
        <v>1437.3671</v>
      </c>
      <c r="H39" s="35">
        <f>SUM(H24:H38)</f>
        <v>16376.961599999999</v>
      </c>
      <c r="I39" s="35">
        <f>SUM(I24:I38)</f>
        <v>17814.328700000002</v>
      </c>
      <c r="J39" s="63">
        <f>SUM(J24:J38)</f>
        <v>21982.881615799997</v>
      </c>
      <c r="K39" s="8"/>
      <c r="L39" s="8"/>
      <c r="M39" s="8"/>
      <c r="N39" s="8"/>
      <c r="O39" s="8"/>
      <c r="P39" s="8"/>
    </row>
    <row r="40" spans="1:16" s="4" customFormat="1" ht="12.75">
      <c r="A40" s="61">
        <v>4</v>
      </c>
      <c r="B40" s="45" t="s">
        <v>81</v>
      </c>
      <c r="C40" s="46"/>
      <c r="D40" s="47"/>
      <c r="E40" s="48"/>
      <c r="F40" s="48"/>
      <c r="G40" s="48"/>
      <c r="H40" s="48"/>
      <c r="I40" s="49"/>
      <c r="J40" s="62"/>
      <c r="K40" s="5"/>
      <c r="L40" s="87"/>
      <c r="M40" s="5"/>
      <c r="N40" s="5"/>
      <c r="O40" s="5"/>
      <c r="P40" s="5"/>
    </row>
    <row r="41" spans="1:16" ht="12.75">
      <c r="A41" s="58" t="s">
        <v>82</v>
      </c>
      <c r="B41" s="86" t="s">
        <v>84</v>
      </c>
      <c r="C41" s="6" t="s">
        <v>16</v>
      </c>
      <c r="D41" s="11">
        <f>D36+D37+8</f>
        <v>56</v>
      </c>
      <c r="E41" s="32">
        <v>106.8</v>
      </c>
      <c r="F41" s="33">
        <v>46.02</v>
      </c>
      <c r="G41" s="32">
        <f>SUM(D41*E41)</f>
        <v>5980.8</v>
      </c>
      <c r="H41" s="32">
        <f>SUM(D41*F41)</f>
        <v>2577.1200000000003</v>
      </c>
      <c r="I41" s="34">
        <f>SUM(G41:H41)</f>
        <v>8557.92</v>
      </c>
      <c r="J41" s="59">
        <f>SUM(I41*$L$4)</f>
        <v>10560.47328</v>
      </c>
      <c r="K41" s="3"/>
      <c r="L41" s="87">
        <v>93141</v>
      </c>
      <c r="M41" s="3"/>
      <c r="N41" s="3"/>
      <c r="O41" s="3"/>
      <c r="P41" s="3"/>
    </row>
    <row r="42" spans="1:16" s="9" customFormat="1" ht="12.75">
      <c r="A42" s="58"/>
      <c r="B42" s="50" t="s">
        <v>10</v>
      </c>
      <c r="C42" s="7"/>
      <c r="D42" s="12"/>
      <c r="E42" s="35"/>
      <c r="F42" s="36"/>
      <c r="G42" s="35">
        <f>SUM(G41)</f>
        <v>5980.8</v>
      </c>
      <c r="H42" s="35">
        <f>SUM(H41)</f>
        <v>2577.1200000000003</v>
      </c>
      <c r="I42" s="35">
        <f>SUM(I41)</f>
        <v>8557.92</v>
      </c>
      <c r="J42" s="63">
        <f>SUM(J41)</f>
        <v>10560.47328</v>
      </c>
      <c r="K42" s="8"/>
      <c r="L42" s="8"/>
      <c r="M42" s="8"/>
      <c r="N42" s="8"/>
      <c r="O42" s="8"/>
      <c r="P42" s="8"/>
    </row>
    <row r="43" spans="1:16" s="4" customFormat="1" ht="12.75">
      <c r="A43" s="61">
        <v>5</v>
      </c>
      <c r="B43" s="45" t="s">
        <v>85</v>
      </c>
      <c r="C43" s="46"/>
      <c r="D43" s="47"/>
      <c r="E43" s="48"/>
      <c r="F43" s="48"/>
      <c r="G43" s="48"/>
      <c r="H43" s="48"/>
      <c r="I43" s="49"/>
      <c r="J43" s="62"/>
      <c r="K43" s="5"/>
      <c r="L43" s="87"/>
      <c r="M43" s="5"/>
      <c r="N43" s="5"/>
      <c r="O43" s="5"/>
      <c r="P43" s="5"/>
    </row>
    <row r="44" spans="1:16" ht="12.75">
      <c r="A44" s="58" t="s">
        <v>87</v>
      </c>
      <c r="B44" s="86" t="s">
        <v>86</v>
      </c>
      <c r="C44" s="6" t="s">
        <v>16</v>
      </c>
      <c r="D44" s="11">
        <v>1</v>
      </c>
      <c r="E44" s="32">
        <v>54.95</v>
      </c>
      <c r="F44" s="33">
        <f>ROUND(13.77+43.43+9.77,2)</f>
        <v>66.97</v>
      </c>
      <c r="G44" s="32">
        <f aca="true" t="shared" si="4" ref="G44:G50">SUM(D44*E44)</f>
        <v>54.95</v>
      </c>
      <c r="H44" s="32">
        <f aca="true" t="shared" si="5" ref="H44:H50">SUM(D44*F44)</f>
        <v>66.97</v>
      </c>
      <c r="I44" s="34">
        <f aca="true" t="shared" si="6" ref="I44:I50">SUM(G44:H44)</f>
        <v>121.92</v>
      </c>
      <c r="J44" s="59">
        <f aca="true" t="shared" si="7" ref="J44:J50">SUM(I44*$L$4)</f>
        <v>150.44928</v>
      </c>
      <c r="K44" s="3"/>
      <c r="L44" s="87">
        <v>97658</v>
      </c>
      <c r="M44" s="3"/>
      <c r="N44" s="3"/>
      <c r="O44" s="3"/>
      <c r="P44" s="3"/>
    </row>
    <row r="45" spans="1:16" ht="12.75">
      <c r="A45" s="58" t="s">
        <v>100</v>
      </c>
      <c r="B45" s="86" t="s">
        <v>107</v>
      </c>
      <c r="C45" s="6" t="s">
        <v>11</v>
      </c>
      <c r="D45" s="11">
        <v>232.92</v>
      </c>
      <c r="E45" s="32">
        <v>15.24</v>
      </c>
      <c r="F45" s="33">
        <v>2.14</v>
      </c>
      <c r="G45" s="32">
        <f t="shared" si="4"/>
        <v>3549.7008</v>
      </c>
      <c r="H45" s="32">
        <f t="shared" si="5"/>
        <v>498.4488</v>
      </c>
      <c r="I45" s="34">
        <f t="shared" si="6"/>
        <v>4048.1496</v>
      </c>
      <c r="J45" s="59">
        <f t="shared" si="7"/>
        <v>4995.4166064</v>
      </c>
      <c r="K45" s="17"/>
      <c r="L45" s="88">
        <v>97633</v>
      </c>
      <c r="M45" s="3"/>
      <c r="N45" s="3"/>
      <c r="O45" s="3"/>
      <c r="P45" s="3"/>
    </row>
    <row r="46" spans="1:16" ht="12.75">
      <c r="A46" s="58" t="s">
        <v>101</v>
      </c>
      <c r="B46" s="86" t="s">
        <v>108</v>
      </c>
      <c r="C46" s="6" t="s">
        <v>11</v>
      </c>
      <c r="D46" s="11">
        <v>21.7</v>
      </c>
      <c r="E46" s="32">
        <v>15.24</v>
      </c>
      <c r="F46" s="33">
        <v>2.14</v>
      </c>
      <c r="G46" s="32">
        <f t="shared" si="4"/>
        <v>330.70799999999997</v>
      </c>
      <c r="H46" s="32">
        <f t="shared" si="5"/>
        <v>46.438</v>
      </c>
      <c r="I46" s="34">
        <f t="shared" si="6"/>
        <v>377.14599999999996</v>
      </c>
      <c r="J46" s="59">
        <f t="shared" si="7"/>
        <v>465.39816399999995</v>
      </c>
      <c r="K46" s="17"/>
      <c r="L46" s="88">
        <v>97633</v>
      </c>
      <c r="M46" s="3"/>
      <c r="N46" s="3"/>
      <c r="O46" s="3"/>
      <c r="P46" s="3"/>
    </row>
    <row r="47" spans="1:16" ht="12.75">
      <c r="A47" s="58" t="s">
        <v>102</v>
      </c>
      <c r="B47" s="86" t="s">
        <v>97</v>
      </c>
      <c r="C47" s="6" t="s">
        <v>11</v>
      </c>
      <c r="D47" s="11">
        <f>18.3+(3*3)</f>
        <v>27.3</v>
      </c>
      <c r="E47" s="32">
        <v>5.5</v>
      </c>
      <c r="F47" s="33">
        <v>0.67</v>
      </c>
      <c r="G47" s="32">
        <f t="shared" si="4"/>
        <v>150.15</v>
      </c>
      <c r="H47" s="32">
        <f t="shared" si="5"/>
        <v>18.291</v>
      </c>
      <c r="I47" s="34">
        <f t="shared" si="6"/>
        <v>168.441</v>
      </c>
      <c r="J47" s="59">
        <f t="shared" si="7"/>
        <v>207.856194</v>
      </c>
      <c r="K47" s="3"/>
      <c r="L47" s="88">
        <v>97638</v>
      </c>
      <c r="M47" s="3"/>
      <c r="N47" s="3"/>
      <c r="O47" s="3"/>
      <c r="P47" s="3"/>
    </row>
    <row r="48" spans="1:16" ht="12.75" customHeight="1">
      <c r="A48" s="58" t="s">
        <v>111</v>
      </c>
      <c r="B48" s="86" t="s">
        <v>105</v>
      </c>
      <c r="C48" s="6" t="s">
        <v>11</v>
      </c>
      <c r="D48" s="11">
        <f>11.34+8.4</f>
        <v>19.740000000000002</v>
      </c>
      <c r="E48" s="32">
        <v>6.38</v>
      </c>
      <c r="F48" s="33">
        <v>0.74</v>
      </c>
      <c r="G48" s="32">
        <f t="shared" si="4"/>
        <v>125.94120000000001</v>
      </c>
      <c r="H48" s="32">
        <f t="shared" si="5"/>
        <v>14.607600000000001</v>
      </c>
      <c r="I48" s="34">
        <f t="shared" si="6"/>
        <v>140.5488</v>
      </c>
      <c r="J48" s="59">
        <f t="shared" si="7"/>
        <v>173.4372192</v>
      </c>
      <c r="K48" s="3"/>
      <c r="L48" s="88">
        <v>97644</v>
      </c>
      <c r="M48" s="3"/>
      <c r="N48" s="3"/>
      <c r="O48" s="3"/>
      <c r="P48" s="3"/>
    </row>
    <row r="49" spans="1:16" ht="12.75" customHeight="1">
      <c r="A49" s="58" t="s">
        <v>112</v>
      </c>
      <c r="B49" s="86" t="s">
        <v>104</v>
      </c>
      <c r="C49" s="6" t="s">
        <v>11</v>
      </c>
      <c r="D49" s="11">
        <v>17.64</v>
      </c>
      <c r="E49" s="32">
        <v>6.38</v>
      </c>
      <c r="F49" s="33">
        <v>0.74</v>
      </c>
      <c r="G49" s="32">
        <f t="shared" si="4"/>
        <v>112.5432</v>
      </c>
      <c r="H49" s="32">
        <f t="shared" si="5"/>
        <v>13.0536</v>
      </c>
      <c r="I49" s="34">
        <f t="shared" si="6"/>
        <v>125.5968</v>
      </c>
      <c r="J49" s="59">
        <f t="shared" si="7"/>
        <v>154.9864512</v>
      </c>
      <c r="K49" s="3"/>
      <c r="L49" s="88">
        <v>97644</v>
      </c>
      <c r="M49" s="3"/>
      <c r="N49" s="3" t="s">
        <v>106</v>
      </c>
      <c r="O49" s="3"/>
      <c r="P49" s="3"/>
    </row>
    <row r="50" spans="1:16" ht="12.75" customHeight="1">
      <c r="A50" s="58" t="s">
        <v>113</v>
      </c>
      <c r="B50" s="86" t="s">
        <v>103</v>
      </c>
      <c r="C50" s="6" t="s">
        <v>11</v>
      </c>
      <c r="D50" s="11">
        <v>38.36</v>
      </c>
      <c r="E50" s="32">
        <v>3.51</v>
      </c>
      <c r="F50" s="33">
        <v>0.34</v>
      </c>
      <c r="G50" s="32">
        <f t="shared" si="4"/>
        <v>134.6436</v>
      </c>
      <c r="H50" s="32">
        <f t="shared" si="5"/>
        <v>13.0424</v>
      </c>
      <c r="I50" s="34">
        <f t="shared" si="6"/>
        <v>147.68599999999998</v>
      </c>
      <c r="J50" s="59">
        <f t="shared" si="7"/>
        <v>182.24452399999998</v>
      </c>
      <c r="K50" s="3"/>
      <c r="L50" s="88">
        <v>97641</v>
      </c>
      <c r="M50" s="3"/>
      <c r="N50" s="3"/>
      <c r="O50" s="3"/>
      <c r="P50" s="3"/>
    </row>
    <row r="51" spans="1:16" s="9" customFormat="1" ht="12.75">
      <c r="A51" s="58"/>
      <c r="B51" s="50" t="s">
        <v>10</v>
      </c>
      <c r="C51" s="7"/>
      <c r="D51" s="12"/>
      <c r="E51" s="35"/>
      <c r="F51" s="36"/>
      <c r="G51" s="35">
        <f>SUM(G44:G50)</f>
        <v>4458.6368</v>
      </c>
      <c r="H51" s="35">
        <f>SUM(H44:H50)</f>
        <v>670.8514000000001</v>
      </c>
      <c r="I51" s="35">
        <f>SUM(I44:I50)</f>
        <v>5129.488199999999</v>
      </c>
      <c r="J51" s="63">
        <f>SUM(J44:J50)</f>
        <v>6329.7884388</v>
      </c>
      <c r="K51" s="8"/>
      <c r="L51" s="8"/>
      <c r="M51" s="8"/>
      <c r="N51" s="8"/>
      <c r="O51" s="8"/>
      <c r="P51" s="8"/>
    </row>
    <row r="52" spans="1:16" s="4" customFormat="1" ht="12.75">
      <c r="A52" s="61">
        <v>6</v>
      </c>
      <c r="B52" s="45" t="s">
        <v>88</v>
      </c>
      <c r="C52" s="46"/>
      <c r="D52" s="47"/>
      <c r="E52" s="48"/>
      <c r="F52" s="48"/>
      <c r="G52" s="48"/>
      <c r="H52" s="48"/>
      <c r="I52" s="49"/>
      <c r="J52" s="62"/>
      <c r="K52" s="5"/>
      <c r="L52" s="87"/>
      <c r="M52" s="5"/>
      <c r="N52" s="5"/>
      <c r="O52" s="5"/>
      <c r="P52" s="5"/>
    </row>
    <row r="53" spans="1:16" ht="12.75">
      <c r="A53" s="58" t="s">
        <v>114</v>
      </c>
      <c r="B53" s="86" t="s">
        <v>98</v>
      </c>
      <c r="C53" s="6" t="s">
        <v>11</v>
      </c>
      <c r="D53" s="11">
        <f>ROUND((6*3)+(3*3),2)</f>
        <v>27</v>
      </c>
      <c r="E53" s="32">
        <v>17.62</v>
      </c>
      <c r="F53" s="33">
        <v>100.73</v>
      </c>
      <c r="G53" s="32">
        <f aca="true" t="shared" si="8" ref="G53:G63">SUM(D53*E53)</f>
        <v>475.74</v>
      </c>
      <c r="H53" s="32">
        <f aca="true" t="shared" si="9" ref="H53:H63">SUM(D53*F53)</f>
        <v>2719.71</v>
      </c>
      <c r="I53" s="34">
        <f aca="true" t="shared" si="10" ref="I53:I63">SUM(G53:H53)</f>
        <v>3195.45</v>
      </c>
      <c r="J53" s="59">
        <f aca="true" t="shared" si="11" ref="J53:J63">SUM(I53*$L$4)</f>
        <v>3943.1852999999996</v>
      </c>
      <c r="K53" s="3"/>
      <c r="L53" s="88">
        <v>96361</v>
      </c>
      <c r="M53" s="3"/>
      <c r="N53" s="3"/>
      <c r="O53" s="3"/>
      <c r="P53" s="3"/>
    </row>
    <row r="54" spans="1:16" ht="12.75">
      <c r="A54" s="58" t="s">
        <v>115</v>
      </c>
      <c r="B54" s="86" t="s">
        <v>99</v>
      </c>
      <c r="C54" s="6" t="s">
        <v>11</v>
      </c>
      <c r="D54" s="11">
        <f>82.6</f>
        <v>82.6</v>
      </c>
      <c r="E54" s="32">
        <v>11.45</v>
      </c>
      <c r="F54" s="33">
        <v>78.26</v>
      </c>
      <c r="G54" s="32">
        <f t="shared" si="8"/>
        <v>945.7699999999999</v>
      </c>
      <c r="H54" s="32">
        <f t="shared" si="9"/>
        <v>6464.276</v>
      </c>
      <c r="I54" s="34">
        <f t="shared" si="10"/>
        <v>7410.045999999999</v>
      </c>
      <c r="J54" s="59">
        <f t="shared" si="11"/>
        <v>9143.996764</v>
      </c>
      <c r="K54" s="3"/>
      <c r="L54" s="88">
        <v>87263</v>
      </c>
      <c r="M54" s="3"/>
      <c r="N54" s="3"/>
      <c r="O54" s="3"/>
      <c r="P54" s="3"/>
    </row>
    <row r="55" spans="1:16" ht="12.75">
      <c r="A55" s="58" t="s">
        <v>116</v>
      </c>
      <c r="B55" s="86" t="s">
        <v>109</v>
      </c>
      <c r="C55" s="6" t="s">
        <v>11</v>
      </c>
      <c r="D55" s="11">
        <f>21.7*3</f>
        <v>65.1</v>
      </c>
      <c r="E55" s="32">
        <v>25.91</v>
      </c>
      <c r="F55" s="33">
        <v>34.88</v>
      </c>
      <c r="G55" s="32">
        <f t="shared" si="8"/>
        <v>1686.7409999999998</v>
      </c>
      <c r="H55" s="32">
        <f t="shared" si="9"/>
        <v>2270.688</v>
      </c>
      <c r="I55" s="34">
        <f t="shared" si="10"/>
        <v>3957.429</v>
      </c>
      <c r="J55" s="59">
        <f t="shared" si="11"/>
        <v>4883.467386</v>
      </c>
      <c r="K55" s="3"/>
      <c r="L55" s="88">
        <v>87272</v>
      </c>
      <c r="M55" s="3"/>
      <c r="N55" s="3"/>
      <c r="O55" s="3"/>
      <c r="P55" s="3"/>
    </row>
    <row r="56" spans="1:16" ht="12.75">
      <c r="A56" s="58" t="s">
        <v>89</v>
      </c>
      <c r="B56" s="86" t="s">
        <v>110</v>
      </c>
      <c r="C56" s="6" t="s">
        <v>11</v>
      </c>
      <c r="D56" s="11">
        <f>96.03+41.4</f>
        <v>137.43</v>
      </c>
      <c r="E56" s="32">
        <v>6.96</v>
      </c>
      <c r="F56" s="33">
        <v>137.34</v>
      </c>
      <c r="G56" s="32">
        <f t="shared" si="8"/>
        <v>956.5128000000001</v>
      </c>
      <c r="H56" s="32">
        <f t="shared" si="9"/>
        <v>18874.6362</v>
      </c>
      <c r="I56" s="34">
        <f t="shared" si="10"/>
        <v>19831.149</v>
      </c>
      <c r="J56" s="59">
        <f t="shared" si="11"/>
        <v>24471.637866</v>
      </c>
      <c r="K56" s="3"/>
      <c r="L56" s="88">
        <v>98673</v>
      </c>
      <c r="M56" s="3"/>
      <c r="N56" s="3"/>
      <c r="O56" s="3"/>
      <c r="P56" s="3"/>
    </row>
    <row r="57" spans="1:16" ht="12.75" customHeight="1">
      <c r="A57" s="58" t="s">
        <v>90</v>
      </c>
      <c r="B57" s="86" t="s">
        <v>121</v>
      </c>
      <c r="C57" s="6" t="s">
        <v>16</v>
      </c>
      <c r="D57" s="11">
        <v>3</v>
      </c>
      <c r="E57" s="32">
        <v>264.11</v>
      </c>
      <c r="F57" s="33">
        <f>463.96+0.56</f>
        <v>464.52</v>
      </c>
      <c r="G57" s="32">
        <f t="shared" si="8"/>
        <v>792.33</v>
      </c>
      <c r="H57" s="32">
        <f t="shared" si="9"/>
        <v>1393.56</v>
      </c>
      <c r="I57" s="34">
        <f t="shared" si="10"/>
        <v>2185.89</v>
      </c>
      <c r="J57" s="59">
        <f t="shared" si="11"/>
        <v>2697.3882599999997</v>
      </c>
      <c r="K57" s="3"/>
      <c r="L57" s="88">
        <v>90844</v>
      </c>
      <c r="M57" s="3"/>
      <c r="N57" s="3"/>
      <c r="O57" s="3"/>
      <c r="P57" s="3"/>
    </row>
    <row r="58" spans="1:16" ht="12.75">
      <c r="A58" s="58" t="s">
        <v>91</v>
      </c>
      <c r="B58" s="86" t="s">
        <v>120</v>
      </c>
      <c r="C58" s="6" t="s">
        <v>16</v>
      </c>
      <c r="D58" s="11">
        <v>1</v>
      </c>
      <c r="E58" s="32">
        <v>233.38</v>
      </c>
      <c r="F58" s="33">
        <f>894.91+0.49</f>
        <v>895.4</v>
      </c>
      <c r="G58" s="32">
        <f t="shared" si="8"/>
        <v>233.38</v>
      </c>
      <c r="H58" s="32">
        <f t="shared" si="9"/>
        <v>895.4</v>
      </c>
      <c r="I58" s="34">
        <f t="shared" si="10"/>
        <v>1128.78</v>
      </c>
      <c r="J58" s="59">
        <f t="shared" si="11"/>
        <v>1392.91452</v>
      </c>
      <c r="K58" s="3"/>
      <c r="L58" s="88">
        <v>91337</v>
      </c>
      <c r="M58" s="3"/>
      <c r="N58" s="3"/>
      <c r="O58" s="3"/>
      <c r="P58" s="3"/>
    </row>
    <row r="59" spans="1:16" ht="12.75">
      <c r="A59" s="58" t="s">
        <v>92</v>
      </c>
      <c r="B59" s="86" t="s">
        <v>117</v>
      </c>
      <c r="C59" s="6" t="s">
        <v>11</v>
      </c>
      <c r="D59" s="11">
        <f>0.9*2.1</f>
        <v>1.8900000000000001</v>
      </c>
      <c r="E59" s="32">
        <v>9.96</v>
      </c>
      <c r="F59" s="33">
        <v>985.83</v>
      </c>
      <c r="G59" s="32">
        <f t="shared" si="8"/>
        <v>18.824400000000004</v>
      </c>
      <c r="H59" s="32">
        <f t="shared" si="9"/>
        <v>1863.2187000000001</v>
      </c>
      <c r="I59" s="34">
        <f t="shared" si="10"/>
        <v>1882.0431</v>
      </c>
      <c r="J59" s="59">
        <f t="shared" si="11"/>
        <v>2322.4411854</v>
      </c>
      <c r="K59" s="3"/>
      <c r="L59" s="88" t="s">
        <v>124</v>
      </c>
      <c r="M59" s="3"/>
      <c r="N59" s="3"/>
      <c r="O59" s="3"/>
      <c r="P59" s="3"/>
    </row>
    <row r="60" spans="1:16" ht="12.75">
      <c r="A60" s="58" t="s">
        <v>93</v>
      </c>
      <c r="B60" s="86" t="s">
        <v>118</v>
      </c>
      <c r="C60" s="6" t="s">
        <v>11</v>
      </c>
      <c r="D60" s="11">
        <f>ROUND(4.2*2.2,2)</f>
        <v>9.24</v>
      </c>
      <c r="E60" s="32">
        <v>9.96</v>
      </c>
      <c r="F60" s="33">
        <v>985.83</v>
      </c>
      <c r="G60" s="32">
        <f t="shared" si="8"/>
        <v>92.03040000000001</v>
      </c>
      <c r="H60" s="32">
        <f t="shared" si="9"/>
        <v>9109.0692</v>
      </c>
      <c r="I60" s="34">
        <f t="shared" si="10"/>
        <v>9201.0996</v>
      </c>
      <c r="J60" s="59">
        <f t="shared" si="11"/>
        <v>11354.1569064</v>
      </c>
      <c r="K60" s="3"/>
      <c r="L60" s="88"/>
      <c r="M60" s="3"/>
      <c r="N60" s="3"/>
      <c r="O60" s="3"/>
      <c r="P60" s="3"/>
    </row>
    <row r="61" spans="1:16" ht="12.75">
      <c r="A61" s="58" t="s">
        <v>94</v>
      </c>
      <c r="B61" s="86" t="s">
        <v>119</v>
      </c>
      <c r="C61" s="6" t="s">
        <v>11</v>
      </c>
      <c r="D61" s="11">
        <f>ROUND(4.4*2.2,2)</f>
        <v>9.68</v>
      </c>
      <c r="E61" s="32">
        <v>9.96</v>
      </c>
      <c r="F61" s="33">
        <v>985.83</v>
      </c>
      <c r="G61" s="32">
        <f t="shared" si="8"/>
        <v>96.4128</v>
      </c>
      <c r="H61" s="32">
        <f t="shared" si="9"/>
        <v>9542.8344</v>
      </c>
      <c r="I61" s="34">
        <f t="shared" si="10"/>
        <v>9639.2472</v>
      </c>
      <c r="J61" s="59">
        <f t="shared" si="11"/>
        <v>11894.8310448</v>
      </c>
      <c r="K61" s="3"/>
      <c r="L61" s="87"/>
      <c r="M61" s="3"/>
      <c r="N61" s="3"/>
      <c r="O61" s="3"/>
      <c r="P61" s="3"/>
    </row>
    <row r="62" spans="1:16" ht="12.75">
      <c r="A62" s="58" t="s">
        <v>95</v>
      </c>
      <c r="B62" s="86" t="s">
        <v>122</v>
      </c>
      <c r="C62" s="6" t="s">
        <v>11</v>
      </c>
      <c r="D62" s="11">
        <f>ROUND(2*2.2,2)</f>
        <v>4.4</v>
      </c>
      <c r="E62" s="32">
        <v>9.96</v>
      </c>
      <c r="F62" s="33">
        <v>985.83</v>
      </c>
      <c r="G62" s="32">
        <f t="shared" si="8"/>
        <v>43.824000000000005</v>
      </c>
      <c r="H62" s="32">
        <f t="shared" si="9"/>
        <v>4337.652000000001</v>
      </c>
      <c r="I62" s="34">
        <f t="shared" si="10"/>
        <v>4381.476000000001</v>
      </c>
      <c r="J62" s="59">
        <f t="shared" si="11"/>
        <v>5406.741384000001</v>
      </c>
      <c r="K62" s="3"/>
      <c r="L62" s="17"/>
      <c r="M62" s="3"/>
      <c r="N62" s="3"/>
      <c r="O62" s="3"/>
      <c r="P62" s="3"/>
    </row>
    <row r="63" spans="1:16" ht="12.75">
      <c r="A63" s="58" t="s">
        <v>96</v>
      </c>
      <c r="B63" s="86" t="s">
        <v>123</v>
      </c>
      <c r="C63" s="6" t="s">
        <v>11</v>
      </c>
      <c r="D63" s="11">
        <f>ROUND(2*2.1,2)</f>
        <v>4.2</v>
      </c>
      <c r="E63" s="32">
        <v>138.92</v>
      </c>
      <c r="F63" s="33">
        <v>532.98</v>
      </c>
      <c r="G63" s="32">
        <f t="shared" si="8"/>
        <v>583.4639999999999</v>
      </c>
      <c r="H63" s="32">
        <f t="shared" si="9"/>
        <v>2238.516</v>
      </c>
      <c r="I63" s="34">
        <f t="shared" si="10"/>
        <v>2821.98</v>
      </c>
      <c r="J63" s="59">
        <f t="shared" si="11"/>
        <v>3482.32332</v>
      </c>
      <c r="K63" s="3"/>
      <c r="L63" s="88">
        <v>91337</v>
      </c>
      <c r="M63" s="3"/>
      <c r="N63" s="3"/>
      <c r="O63" s="3"/>
      <c r="P63" s="3"/>
    </row>
    <row r="64" spans="1:16" ht="12.75">
      <c r="A64" s="58" t="s">
        <v>136</v>
      </c>
      <c r="B64" s="86" t="s">
        <v>137</v>
      </c>
      <c r="C64" s="6" t="s">
        <v>11</v>
      </c>
      <c r="D64" s="11">
        <f>D56+D54</f>
        <v>220.03</v>
      </c>
      <c r="E64" s="32">
        <v>10.25</v>
      </c>
      <c r="F64" s="33">
        <v>15.36</v>
      </c>
      <c r="G64" s="32">
        <f>SUM(D64*E64)</f>
        <v>2255.3075</v>
      </c>
      <c r="H64" s="32">
        <f>SUM(D64*F64)</f>
        <v>3379.6608</v>
      </c>
      <c r="I64" s="34">
        <f>SUM(G64:H64)</f>
        <v>5634.9683</v>
      </c>
      <c r="J64" s="59">
        <f>SUM(I64*$L$4)</f>
        <v>6953.5508822</v>
      </c>
      <c r="K64" s="3"/>
      <c r="L64" s="88">
        <v>87620</v>
      </c>
      <c r="M64" s="3"/>
      <c r="N64" s="3"/>
      <c r="O64" s="3"/>
      <c r="P64" s="3"/>
    </row>
    <row r="65" spans="1:16" s="9" customFormat="1" ht="12.75">
      <c r="A65" s="58"/>
      <c r="B65" s="50" t="s">
        <v>10</v>
      </c>
      <c r="C65" s="7"/>
      <c r="D65" s="12"/>
      <c r="E65" s="35"/>
      <c r="F65" s="36"/>
      <c r="G65" s="35">
        <f>SUM(G53:G64)</f>
        <v>8180.336899999999</v>
      </c>
      <c r="H65" s="35">
        <f>SUM(H53:H64)</f>
        <v>63089.221300000005</v>
      </c>
      <c r="I65" s="35">
        <f>SUM(I53:I64)</f>
        <v>71269.5582</v>
      </c>
      <c r="J65" s="93">
        <f>SUM(J53:J64)</f>
        <v>87946.63481879998</v>
      </c>
      <c r="K65" s="8"/>
      <c r="L65" s="8"/>
      <c r="M65" s="8"/>
      <c r="N65" s="8"/>
      <c r="O65" s="8"/>
      <c r="P65" s="8"/>
    </row>
    <row r="66" spans="1:16" s="4" customFormat="1" ht="12.75">
      <c r="A66" s="61">
        <v>7</v>
      </c>
      <c r="B66" s="45" t="s">
        <v>125</v>
      </c>
      <c r="C66" s="46"/>
      <c r="D66" s="47"/>
      <c r="E66" s="48"/>
      <c r="F66" s="48"/>
      <c r="G66" s="101"/>
      <c r="H66" s="101"/>
      <c r="I66" s="102"/>
      <c r="J66" s="62"/>
      <c r="K66" s="5"/>
      <c r="L66" s="87"/>
      <c r="M66" s="5"/>
      <c r="N66" s="5"/>
      <c r="O66" s="5"/>
      <c r="P66" s="5"/>
    </row>
    <row r="67" spans="1:16" ht="12.75">
      <c r="A67" s="58" t="s">
        <v>126</v>
      </c>
      <c r="B67" s="86" t="s">
        <v>130</v>
      </c>
      <c r="C67" s="6" t="s">
        <v>11</v>
      </c>
      <c r="D67" s="11">
        <v>428.76</v>
      </c>
      <c r="E67" s="32">
        <v>1.33</v>
      </c>
      <c r="F67" s="33">
        <v>0.97</v>
      </c>
      <c r="G67" s="32">
        <f>SUM(D67*E67)</f>
        <v>570.2508</v>
      </c>
      <c r="H67" s="32">
        <f>SUM(D67*F67)</f>
        <v>415.8972</v>
      </c>
      <c r="I67" s="34">
        <f>SUM(G67:H67)</f>
        <v>986.148</v>
      </c>
      <c r="J67" s="59">
        <f>SUM(I67*$L$4)</f>
        <v>1216.906632</v>
      </c>
      <c r="K67" s="3"/>
      <c r="L67" s="87"/>
      <c r="M67" s="3"/>
      <c r="N67" s="3"/>
      <c r="O67" s="3"/>
      <c r="P67" s="3"/>
    </row>
    <row r="68" spans="1:16" ht="12.75">
      <c r="A68" s="58" t="s">
        <v>127</v>
      </c>
      <c r="B68" s="86" t="s">
        <v>132</v>
      </c>
      <c r="C68" s="6" t="s">
        <v>11</v>
      </c>
      <c r="D68" s="11">
        <v>973.77</v>
      </c>
      <c r="E68" s="32">
        <v>6.13</v>
      </c>
      <c r="F68" s="33">
        <v>6.22</v>
      </c>
      <c r="G68" s="32">
        <f>SUM(D68*E68)</f>
        <v>5969.2101</v>
      </c>
      <c r="H68" s="32">
        <f>SUM(D68*F68)</f>
        <v>6056.8494</v>
      </c>
      <c r="I68" s="34">
        <f>SUM(G68:H68)</f>
        <v>12026.0595</v>
      </c>
      <c r="J68" s="59">
        <f>SUM(I68*$L$4)</f>
        <v>14840.157422999999</v>
      </c>
      <c r="K68" s="17"/>
      <c r="L68" s="88"/>
      <c r="M68" s="3"/>
      <c r="N68" s="3"/>
      <c r="O68" s="3"/>
      <c r="P68" s="3"/>
    </row>
    <row r="69" spans="1:16" ht="12.75">
      <c r="A69" s="58" t="s">
        <v>128</v>
      </c>
      <c r="B69" s="86" t="s">
        <v>131</v>
      </c>
      <c r="C69" s="6" t="s">
        <v>11</v>
      </c>
      <c r="D69" s="11">
        <v>428.76</v>
      </c>
      <c r="E69" s="32">
        <v>1</v>
      </c>
      <c r="F69" s="33">
        <v>0.95</v>
      </c>
      <c r="G69" s="32">
        <f>SUM(D69*E69)</f>
        <v>428.76</v>
      </c>
      <c r="H69" s="32">
        <f>SUM(D69*F69)</f>
        <v>407.32199999999995</v>
      </c>
      <c r="I69" s="34">
        <f>SUM(G69:H69)</f>
        <v>836.0819999999999</v>
      </c>
      <c r="J69" s="59">
        <f>SUM(I69*$L$4)</f>
        <v>1031.725188</v>
      </c>
      <c r="K69" s="17"/>
      <c r="L69" s="88"/>
      <c r="M69" s="3"/>
      <c r="N69" s="3"/>
      <c r="O69" s="3"/>
      <c r="P69" s="3"/>
    </row>
    <row r="70" spans="1:16" ht="12.75">
      <c r="A70" s="58" t="s">
        <v>129</v>
      </c>
      <c r="B70" s="86" t="s">
        <v>133</v>
      </c>
      <c r="C70" s="6" t="s">
        <v>11</v>
      </c>
      <c r="D70" s="11">
        <v>973.77</v>
      </c>
      <c r="E70" s="32">
        <v>4.71</v>
      </c>
      <c r="F70" s="33">
        <v>6.05</v>
      </c>
      <c r="G70" s="32">
        <f>SUM(D70*E70)</f>
        <v>4586.4567</v>
      </c>
      <c r="H70" s="32">
        <f>SUM(D70*F70)</f>
        <v>5891.3085</v>
      </c>
      <c r="I70" s="34">
        <f>SUM(G70:H70)</f>
        <v>10477.7652</v>
      </c>
      <c r="J70" s="59">
        <f>SUM(I70*$L$4)</f>
        <v>12929.5622568</v>
      </c>
      <c r="K70" s="3"/>
      <c r="L70" s="88"/>
      <c r="M70" s="3"/>
      <c r="N70" s="3"/>
      <c r="O70" s="3"/>
      <c r="P70" s="3"/>
    </row>
    <row r="71" spans="1:16" s="9" customFormat="1" ht="12.75">
      <c r="A71" s="58"/>
      <c r="B71" s="50" t="s">
        <v>10</v>
      </c>
      <c r="C71" s="7"/>
      <c r="D71" s="12"/>
      <c r="E71" s="35"/>
      <c r="F71" s="36"/>
      <c r="G71" s="35">
        <f>SUM(G67:G70)</f>
        <v>11554.677599999999</v>
      </c>
      <c r="H71" s="35">
        <f>SUM(H67:H70)</f>
        <v>12771.377100000002</v>
      </c>
      <c r="I71" s="35">
        <f>SUM(I67:I70)</f>
        <v>24326.0547</v>
      </c>
      <c r="J71" s="63">
        <f>SUM(J67:J70)</f>
        <v>30018.3514998</v>
      </c>
      <c r="K71" s="8"/>
      <c r="L71" s="8"/>
      <c r="M71" s="8"/>
      <c r="N71" s="8"/>
      <c r="O71" s="8"/>
      <c r="P71" s="8"/>
    </row>
    <row r="72" spans="1:16" s="43" customFormat="1" ht="15.75" thickBot="1">
      <c r="A72" s="64"/>
      <c r="B72" s="65" t="s">
        <v>15</v>
      </c>
      <c r="C72" s="66"/>
      <c r="D72" s="67"/>
      <c r="E72" s="68"/>
      <c r="F72" s="69"/>
      <c r="G72" s="70">
        <f>G13+G22+G39+G42+G51+G65+G71</f>
        <v>36093.092399999994</v>
      </c>
      <c r="H72" s="70">
        <f>H13+H22+H39+H42+H51+H65+H71</f>
        <v>101333.7394</v>
      </c>
      <c r="I72" s="92">
        <f>I13+I22+I39+I42+I51+I65+I71</f>
        <v>137426.8318</v>
      </c>
      <c r="J72" s="91">
        <f>J13+J22+J39+J42+J51+J65+J71</f>
        <v>169584.71044119998</v>
      </c>
      <c r="K72" s="41"/>
      <c r="L72" s="42"/>
      <c r="M72" s="41"/>
      <c r="N72" s="41"/>
      <c r="O72" s="41"/>
      <c r="P72" s="41"/>
    </row>
    <row r="73" spans="5:12" ht="14.25">
      <c r="E73" s="23"/>
      <c r="F73" s="25"/>
      <c r="G73" s="23"/>
      <c r="H73" s="23"/>
      <c r="I73" s="24"/>
      <c r="J73" s="24"/>
      <c r="K73" s="3"/>
      <c r="L73" s="3"/>
    </row>
    <row r="74" spans="1:12" s="78" customFormat="1" ht="13.5">
      <c r="A74" s="74"/>
      <c r="B74" s="75" t="s">
        <v>7</v>
      </c>
      <c r="C74" s="74"/>
      <c r="D74" s="76"/>
      <c r="E74" s="23"/>
      <c r="F74" s="25"/>
      <c r="G74" s="23"/>
      <c r="H74" s="23"/>
      <c r="I74" s="24"/>
      <c r="J74" s="24"/>
      <c r="K74" s="77"/>
      <c r="L74" s="77"/>
    </row>
    <row r="75" spans="1:12" s="78" customFormat="1" ht="16.5" customHeight="1">
      <c r="A75" s="74"/>
      <c r="B75" s="160" t="s">
        <v>19</v>
      </c>
      <c r="C75" s="160"/>
      <c r="D75" s="160"/>
      <c r="E75" s="160"/>
      <c r="F75" s="160"/>
      <c r="G75" s="160"/>
      <c r="H75" s="160"/>
      <c r="I75" s="160"/>
      <c r="J75" s="160"/>
      <c r="K75" s="77"/>
      <c r="L75" s="77"/>
    </row>
    <row r="76" spans="1:12" s="78" customFormat="1" ht="30" customHeight="1">
      <c r="A76" s="74"/>
      <c r="B76" s="158" t="s">
        <v>18</v>
      </c>
      <c r="C76" s="158"/>
      <c r="D76" s="158"/>
      <c r="E76" s="158"/>
      <c r="F76" s="158"/>
      <c r="G76" s="158"/>
      <c r="H76" s="158"/>
      <c r="I76" s="158"/>
      <c r="J76" s="158"/>
      <c r="K76" s="77"/>
      <c r="L76" s="77"/>
    </row>
    <row r="77" spans="1:12" s="78" customFormat="1" ht="31.5" customHeight="1">
      <c r="A77" s="74"/>
      <c r="B77" s="159" t="s">
        <v>135</v>
      </c>
      <c r="C77" s="159"/>
      <c r="D77" s="159"/>
      <c r="E77" s="159"/>
      <c r="F77" s="159"/>
      <c r="G77" s="159"/>
      <c r="H77" s="159"/>
      <c r="I77" s="159"/>
      <c r="J77" s="159"/>
      <c r="K77" s="77"/>
      <c r="L77" s="77"/>
    </row>
    <row r="78" spans="5:12" ht="12.75">
      <c r="E78" s="26"/>
      <c r="F78" s="26"/>
      <c r="G78" s="39"/>
      <c r="H78" s="39"/>
      <c r="I78" s="39"/>
      <c r="J78" s="39"/>
      <c r="K78" s="3"/>
      <c r="L78" s="3"/>
    </row>
    <row r="79" spans="5:12" ht="12.75">
      <c r="E79" s="26"/>
      <c r="F79" s="26"/>
      <c r="G79" s="39"/>
      <c r="H79" s="39"/>
      <c r="I79" s="39"/>
      <c r="J79" s="39"/>
      <c r="K79" s="3"/>
      <c r="L79" s="3"/>
    </row>
  </sheetData>
  <sheetProtection/>
  <mergeCells count="9">
    <mergeCell ref="B76:J76"/>
    <mergeCell ref="B77:J77"/>
    <mergeCell ref="B75:J75"/>
    <mergeCell ref="A4:J4"/>
    <mergeCell ref="A8:A9"/>
    <mergeCell ref="B8:B9"/>
    <mergeCell ref="C8:C9"/>
    <mergeCell ref="D8:D9"/>
    <mergeCell ref="I6:J6"/>
  </mergeCells>
  <printOptions/>
  <pageMargins left="0.7480314960629921" right="0.4724409448818898" top="2.440944881889764" bottom="0.31496062992125984" header="0.9448818897637796" footer="0"/>
  <pageSetup horizontalDpi="600" verticalDpi="600" orientation="landscape" paperSize="9" scale="89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9.140625" defaultRowHeight="12.75"/>
  <cols>
    <col min="2" max="2" width="36.421875" style="0" bestFit="1" customWidth="1"/>
    <col min="3" max="3" width="13.421875" style="0" bestFit="1" customWidth="1"/>
    <col min="7" max="7" width="9.8515625" style="0" bestFit="1" customWidth="1"/>
    <col min="9" max="9" width="9.8515625" style="0" bestFit="1" customWidth="1"/>
  </cols>
  <sheetData>
    <row r="1" spans="1:10" ht="20.25">
      <c r="A1" s="103" t="str">
        <f>'[1]ORCA'!A1</f>
        <v>PREFEITURA MUNICIPAL DE TIMBÓ</v>
      </c>
      <c r="B1" s="3"/>
      <c r="C1" s="104"/>
      <c r="D1" s="105"/>
      <c r="E1" s="105"/>
      <c r="F1" s="106"/>
      <c r="G1" s="1"/>
      <c r="H1" s="107"/>
      <c r="I1" s="1"/>
      <c r="J1" s="1"/>
    </row>
    <row r="2" spans="1:10" ht="12.75">
      <c r="A2" s="103" t="str">
        <f>'[1]ORCA'!A2</f>
        <v>SECRETARIA DE PLANEJAMENTO, TRÂNSITO E MEIO AMBIENTE</v>
      </c>
      <c r="B2" s="3"/>
      <c r="C2" s="105"/>
      <c r="D2" s="105"/>
      <c r="E2" s="105"/>
      <c r="F2" s="106"/>
      <c r="G2" s="108" t="s">
        <v>139</v>
      </c>
      <c r="H2" s="106"/>
      <c r="I2" s="1"/>
      <c r="J2" s="1"/>
    </row>
    <row r="3" spans="1:10" ht="12.75">
      <c r="A3" s="174" t="s">
        <v>140</v>
      </c>
      <c r="B3" s="175"/>
      <c r="C3" s="175"/>
      <c r="D3" s="175"/>
      <c r="E3" s="175"/>
      <c r="F3" s="175"/>
      <c r="G3" s="175"/>
      <c r="H3" s="175"/>
      <c r="I3" s="175"/>
      <c r="J3" s="176"/>
    </row>
    <row r="4" spans="1:10" ht="12.75">
      <c r="A4" s="109" t="str">
        <f>'[1]ORCA'!A5</f>
        <v>PROJETO : </v>
      </c>
      <c r="B4" s="110" t="str">
        <f>ORÇAMENTO!B5</f>
        <v>REFORMA - NEI PARAÍSO DA CRIANÇA</v>
      </c>
      <c r="C4" s="111"/>
      <c r="D4" s="115"/>
      <c r="E4" s="115"/>
      <c r="F4" s="112"/>
      <c r="G4" s="113"/>
      <c r="H4" s="114"/>
      <c r="I4" s="113"/>
      <c r="J4" s="116"/>
    </row>
    <row r="5" spans="1:10" ht="12.75">
      <c r="A5" s="117" t="str">
        <f>'[1]ORCA'!A6</f>
        <v>LOCAL: :</v>
      </c>
      <c r="B5" s="118" t="str">
        <f>ORÇAMENTO!B6</f>
        <v>Rua Alemanha, Bairro das Nações - Timbó/SC</v>
      </c>
      <c r="C5" s="119"/>
      <c r="D5" s="120"/>
      <c r="E5" s="121"/>
      <c r="F5" s="122"/>
      <c r="G5" s="123"/>
      <c r="H5" s="124"/>
      <c r="I5" s="123"/>
      <c r="J5" s="125"/>
    </row>
    <row r="6" spans="1:10" ht="12.75">
      <c r="A6" s="177" t="s">
        <v>0</v>
      </c>
      <c r="B6" s="179" t="s">
        <v>141</v>
      </c>
      <c r="C6" s="126" t="s">
        <v>142</v>
      </c>
      <c r="D6" s="181" t="s">
        <v>143</v>
      </c>
      <c r="E6" s="183" t="s">
        <v>144</v>
      </c>
      <c r="F6" s="184"/>
      <c r="G6" s="183" t="s">
        <v>145</v>
      </c>
      <c r="H6" s="184"/>
      <c r="I6" s="127" t="s">
        <v>142</v>
      </c>
      <c r="J6" s="126" t="s">
        <v>143</v>
      </c>
    </row>
    <row r="7" spans="1:10" ht="13.5" thickBot="1">
      <c r="A7" s="178"/>
      <c r="B7" s="180"/>
      <c r="C7" s="128" t="s">
        <v>146</v>
      </c>
      <c r="D7" s="182"/>
      <c r="E7" s="129" t="s">
        <v>147</v>
      </c>
      <c r="F7" s="130" t="s">
        <v>143</v>
      </c>
      <c r="G7" s="129" t="s">
        <v>148</v>
      </c>
      <c r="H7" s="130" t="s">
        <v>143</v>
      </c>
      <c r="I7" s="131" t="s">
        <v>146</v>
      </c>
      <c r="J7" s="128" t="s">
        <v>146</v>
      </c>
    </row>
    <row r="8" spans="1:10" ht="13.5" thickTop="1">
      <c r="A8" s="132">
        <v>1</v>
      </c>
      <c r="B8" s="133" t="str">
        <f>ORÇAMENTO!B10</f>
        <v>SERVIÇOS INICIAIS</v>
      </c>
      <c r="C8" s="134">
        <f>ORÇAMENTO!J13</f>
        <v>1469.0523200000002</v>
      </c>
      <c r="D8" s="135">
        <f>SUM(C8*100%/$C$15)</f>
        <v>0.008662646037947884</v>
      </c>
      <c r="E8" s="136">
        <f>SUM($C$8*F8)</f>
        <v>1469.0523200000002</v>
      </c>
      <c r="F8" s="137">
        <v>1</v>
      </c>
      <c r="G8" s="136">
        <f aca="true" t="shared" si="0" ref="G8:G14">SUM(C8*H8)</f>
        <v>0</v>
      </c>
      <c r="H8" s="137"/>
      <c r="I8" s="138">
        <f>SUM(E8+G8)</f>
        <v>1469.0523200000002</v>
      </c>
      <c r="J8" s="139">
        <f>SUM(F8+H8)</f>
        <v>1</v>
      </c>
    </row>
    <row r="9" spans="1:10" ht="12.75">
      <c r="A9" s="140">
        <v>2</v>
      </c>
      <c r="B9" s="134" t="str">
        <f>ORÇAMENTO!B14</f>
        <v>GÁS</v>
      </c>
      <c r="C9" s="134">
        <f>ORÇAMENTO!J22</f>
        <v>11277.528468</v>
      </c>
      <c r="D9" s="135">
        <f aca="true" t="shared" si="1" ref="D9:D14">SUM(C9*100%/$C$15)</f>
        <v>0.06650085634878182</v>
      </c>
      <c r="E9" s="136">
        <f>SUM($C$9*F9)</f>
        <v>3383.2585404</v>
      </c>
      <c r="F9" s="137">
        <v>0.3</v>
      </c>
      <c r="G9" s="136">
        <f t="shared" si="0"/>
        <v>7894.269927599999</v>
      </c>
      <c r="H9" s="137">
        <v>0.7</v>
      </c>
      <c r="I9" s="138">
        <f aca="true" t="shared" si="2" ref="I9:I14">SUM(E9+G9)</f>
        <v>11277.528468</v>
      </c>
      <c r="J9" s="139">
        <f aca="true" t="shared" si="3" ref="J9:J14">SUM(F9+H9)</f>
        <v>1</v>
      </c>
    </row>
    <row r="10" spans="1:10" ht="12.75">
      <c r="A10" s="140">
        <v>3</v>
      </c>
      <c r="B10" s="134" t="str">
        <f>ORÇAMENTO!B23</f>
        <v>PREVENTIVO</v>
      </c>
      <c r="C10" s="134">
        <f>ORÇAMENTO!J39</f>
        <v>21982.881615799997</v>
      </c>
      <c r="D10" s="135">
        <f t="shared" si="1"/>
        <v>0.1296277332939287</v>
      </c>
      <c r="E10" s="136">
        <f>SUM($C$10*F10)</f>
        <v>13189.728969479998</v>
      </c>
      <c r="F10" s="137">
        <v>0.6</v>
      </c>
      <c r="G10" s="136">
        <f t="shared" si="0"/>
        <v>8793.152646319999</v>
      </c>
      <c r="H10" s="137">
        <v>0.4</v>
      </c>
      <c r="I10" s="138">
        <f t="shared" si="2"/>
        <v>21982.881615799997</v>
      </c>
      <c r="J10" s="139">
        <f t="shared" si="3"/>
        <v>1</v>
      </c>
    </row>
    <row r="11" spans="1:10" ht="12.75">
      <c r="A11" s="140">
        <v>4</v>
      </c>
      <c r="B11" s="134" t="str">
        <f>ORÇAMENTO!B40</f>
        <v>ELETRICO</v>
      </c>
      <c r="C11" s="134">
        <f>ORÇAMENTO!J42</f>
        <v>10560.47328</v>
      </c>
      <c r="D11" s="135">
        <f t="shared" si="1"/>
        <v>0.0622725554239256</v>
      </c>
      <c r="E11" s="136">
        <f>SUM($C$11*F11)</f>
        <v>5280.23664</v>
      </c>
      <c r="F11" s="137">
        <v>0.5</v>
      </c>
      <c r="G11" s="136">
        <f t="shared" si="0"/>
        <v>5280.23664</v>
      </c>
      <c r="H11" s="137">
        <v>0.5</v>
      </c>
      <c r="I11" s="138">
        <f t="shared" si="2"/>
        <v>10560.47328</v>
      </c>
      <c r="J11" s="139">
        <f t="shared" si="3"/>
        <v>1</v>
      </c>
    </row>
    <row r="12" spans="1:10" ht="12.75">
      <c r="A12" s="140">
        <v>5</v>
      </c>
      <c r="B12" s="134" t="str">
        <f>ORÇAMENTO!B43</f>
        <v>REMOÇÃO - DEMOLIÇÃO</v>
      </c>
      <c r="C12" s="134">
        <f>ORÇAMENTO!J51</f>
        <v>6329.7884388</v>
      </c>
      <c r="D12" s="135">
        <f t="shared" si="1"/>
        <v>0.03732523069050334</v>
      </c>
      <c r="E12" s="136">
        <f>SUM($C$12*F12)</f>
        <v>4430.851907159999</v>
      </c>
      <c r="F12" s="137">
        <v>0.7</v>
      </c>
      <c r="G12" s="136">
        <f t="shared" si="0"/>
        <v>1898.9365316399999</v>
      </c>
      <c r="H12" s="137">
        <v>0.3</v>
      </c>
      <c r="I12" s="138">
        <f t="shared" si="2"/>
        <v>6329.788438799999</v>
      </c>
      <c r="J12" s="139">
        <f t="shared" si="3"/>
        <v>1</v>
      </c>
    </row>
    <row r="13" spans="1:10" ht="12.75">
      <c r="A13" s="140">
        <v>6</v>
      </c>
      <c r="B13" s="134" t="str">
        <f>ORÇAMENTO!B52</f>
        <v>EDIFICAÇÃO</v>
      </c>
      <c r="C13" s="134">
        <f>ORÇAMENTO!J65</f>
        <v>87946.63481879998</v>
      </c>
      <c r="D13" s="135">
        <f t="shared" si="1"/>
        <v>0.5186000234926467</v>
      </c>
      <c r="E13" s="136">
        <f>SUM($C$13*F13)</f>
        <v>65959.97611409999</v>
      </c>
      <c r="F13" s="137">
        <v>0.75</v>
      </c>
      <c r="G13" s="136">
        <f t="shared" si="0"/>
        <v>21986.658704699996</v>
      </c>
      <c r="H13" s="137">
        <v>0.25</v>
      </c>
      <c r="I13" s="138">
        <f t="shared" si="2"/>
        <v>87946.63481879998</v>
      </c>
      <c r="J13" s="139">
        <f t="shared" si="3"/>
        <v>1</v>
      </c>
    </row>
    <row r="14" spans="1:10" ht="12.75">
      <c r="A14" s="140">
        <v>7</v>
      </c>
      <c r="B14" s="134" t="str">
        <f>ORÇAMENTO!B66</f>
        <v>PINTURA</v>
      </c>
      <c r="C14" s="134">
        <f>ORÇAMENTO!J71</f>
        <v>30018.3514998</v>
      </c>
      <c r="D14" s="135">
        <f t="shared" si="1"/>
        <v>0.17701095471226605</v>
      </c>
      <c r="E14" s="136">
        <f>SUM($C$14*F14)</f>
        <v>6003.67029996</v>
      </c>
      <c r="F14" s="137">
        <v>0.2</v>
      </c>
      <c r="G14" s="136">
        <f t="shared" si="0"/>
        <v>24014.68119984</v>
      </c>
      <c r="H14" s="137">
        <v>0.8</v>
      </c>
      <c r="I14" s="138">
        <f t="shared" si="2"/>
        <v>30018.351499800003</v>
      </c>
      <c r="J14" s="139">
        <f t="shared" si="3"/>
        <v>1</v>
      </c>
    </row>
    <row r="15" spans="1:10" ht="14.25">
      <c r="A15" s="141"/>
      <c r="B15" s="142" t="s">
        <v>149</v>
      </c>
      <c r="C15" s="143">
        <f>SUM(C8:C14)</f>
        <v>169584.71044119998</v>
      </c>
      <c r="D15" s="144">
        <f>SUM(D8:D14)</f>
        <v>1</v>
      </c>
      <c r="E15" s="143"/>
      <c r="F15" s="145"/>
      <c r="G15" s="146"/>
      <c r="H15" s="145"/>
      <c r="I15" s="147"/>
      <c r="J15" s="145"/>
    </row>
    <row r="16" spans="1:10" ht="12.75">
      <c r="A16" s="148"/>
      <c r="B16" s="149" t="s">
        <v>150</v>
      </c>
      <c r="C16" s="155"/>
      <c r="D16" s="155"/>
      <c r="E16" s="156">
        <f>SUM(E8:E14)</f>
        <v>99716.77479109999</v>
      </c>
      <c r="F16" s="153">
        <f>SUM(E16*100%/$C$15)</f>
        <v>0.588005690676193</v>
      </c>
      <c r="G16" s="156">
        <f>SUM(G8:G14)</f>
        <v>69867.9356501</v>
      </c>
      <c r="H16" s="153">
        <f>SUM(G16*100%/$C$15)</f>
        <v>0.4119943093238071</v>
      </c>
      <c r="I16" s="157">
        <f>SUM(I8:I14)</f>
        <v>169584.7104412</v>
      </c>
      <c r="J16" s="153">
        <f>SUM(I16*100%/$C$15)</f>
        <v>1.0000000000000002</v>
      </c>
    </row>
    <row r="17" spans="1:10" ht="12.75">
      <c r="A17" s="148"/>
      <c r="B17" s="149" t="s">
        <v>151</v>
      </c>
      <c r="C17" s="150"/>
      <c r="D17" s="151"/>
      <c r="E17" s="152">
        <f>SUM(E16)</f>
        <v>99716.77479109999</v>
      </c>
      <c r="F17" s="153">
        <f>SUM(F16)</f>
        <v>0.588005690676193</v>
      </c>
      <c r="G17" s="152">
        <f>SUM(E17+G16)</f>
        <v>169584.7104412</v>
      </c>
      <c r="H17" s="153">
        <f>SUM(F17+H16)</f>
        <v>1</v>
      </c>
      <c r="I17" s="152"/>
      <c r="J17" s="154"/>
    </row>
  </sheetData>
  <sheetProtection/>
  <mergeCells count="6">
    <mergeCell ref="A3:J3"/>
    <mergeCell ref="A6:A7"/>
    <mergeCell ref="B6:B7"/>
    <mergeCell ref="D6:D7"/>
    <mergeCell ref="E6:F6"/>
    <mergeCell ref="G6:H6"/>
  </mergeCells>
  <printOptions/>
  <pageMargins left="0.7086614173228347" right="0.5118110236220472" top="2.1653543307086616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2018-10-04T18:27:08Z</cp:lastPrinted>
  <dcterms:created xsi:type="dcterms:W3CDTF">2001-12-06T19:05:24Z</dcterms:created>
  <dcterms:modified xsi:type="dcterms:W3CDTF">2018-10-04T18:27:24Z</dcterms:modified>
  <cp:category/>
  <cp:version/>
  <cp:contentType/>
  <cp:contentStatus/>
</cp:coreProperties>
</file>